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07_uzgodnienia zewnętrzne\materiały na KWRiST\"/>
    </mc:Choice>
  </mc:AlternateContent>
  <xr:revisionPtr revIDLastSave="0" documentId="13_ncr:1_{2E3FB63D-C365-428D-9528-0ADD6596C48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koszty wynagrodzeń MKiŚ i UM" sheetId="5" r:id="rId1"/>
    <sheet name="pkt 6 OSR tabela_rozwinięcie" sheetId="7" r:id="rId2"/>
    <sheet name="Reguły wydatkowe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J22" i="7" l="1"/>
  <c r="D22" i="7"/>
  <c r="C21" i="7"/>
  <c r="E9" i="7"/>
  <c r="D9" i="7"/>
  <c r="C9" i="7"/>
  <c r="E16" i="7"/>
  <c r="D16" i="7"/>
  <c r="C16" i="7"/>
  <c r="E15" i="7"/>
  <c r="D15" i="7"/>
  <c r="C15" i="7"/>
  <c r="E14" i="7"/>
  <c r="D14" i="7"/>
  <c r="C14" i="7"/>
  <c r="L12" i="5"/>
  <c r="L10" i="5"/>
  <c r="L9" i="5"/>
  <c r="L8" i="5"/>
  <c r="L7" i="5"/>
  <c r="H6" i="5"/>
  <c r="I6" i="5"/>
  <c r="J6" i="5"/>
  <c r="K6" i="5"/>
  <c r="L5" i="5"/>
  <c r="L4" i="5"/>
  <c r="L33" i="5"/>
  <c r="L32" i="5"/>
  <c r="K31" i="5"/>
  <c r="K34" i="5" s="1"/>
  <c r="E31" i="5"/>
  <c r="F31" i="5" s="1"/>
  <c r="D32" i="5"/>
  <c r="D33" i="5" s="1"/>
  <c r="K7" i="5"/>
  <c r="K10" i="5" s="1"/>
  <c r="E7" i="5"/>
  <c r="I6" i="7"/>
  <c r="B27" i="7" l="1"/>
  <c r="M11" i="7" l="1"/>
  <c r="C12" i="5"/>
  <c r="C13" i="5" s="1"/>
  <c r="C8" i="5"/>
  <c r="C9" i="5" s="1"/>
  <c r="C32" i="5"/>
  <c r="D13" i="5"/>
  <c r="C4" i="5"/>
  <c r="C5" i="5" s="1"/>
  <c r="L28" i="7"/>
  <c r="C33" i="5" l="1"/>
  <c r="J32" i="5"/>
  <c r="E32" i="5"/>
  <c r="K4" i="8"/>
  <c r="H3" i="8" s="1"/>
  <c r="C28" i="7" l="1"/>
  <c r="A27" i="8"/>
  <c r="A26" i="8"/>
  <c r="B17" i="8"/>
  <c r="B18" i="8" s="1"/>
  <c r="D8" i="5"/>
  <c r="D9" i="5" s="1"/>
  <c r="D4" i="5"/>
  <c r="D5" i="5" s="1"/>
  <c r="H4" i="8"/>
  <c r="J33" i="5"/>
  <c r="J34" i="5" s="1"/>
  <c r="J22" i="5"/>
  <c r="J23" i="5"/>
  <c r="J26" i="5"/>
  <c r="J27" i="5"/>
  <c r="J18" i="5"/>
  <c r="J19" i="5"/>
  <c r="J13" i="5"/>
  <c r="J12" i="5"/>
  <c r="J9" i="5"/>
  <c r="J8" i="5"/>
  <c r="J5" i="5"/>
  <c r="J4" i="5"/>
  <c r="F3" i="5"/>
  <c r="M19" i="7"/>
  <c r="M21" i="7"/>
  <c r="C27" i="7"/>
  <c r="D27" i="7"/>
  <c r="E27" i="7"/>
  <c r="F27" i="7"/>
  <c r="G27" i="7"/>
  <c r="H27" i="7"/>
  <c r="I27" i="7"/>
  <c r="C5" i="7"/>
  <c r="D5" i="7"/>
  <c r="E5" i="7"/>
  <c r="F5" i="7"/>
  <c r="G5" i="7"/>
  <c r="B5" i="7"/>
  <c r="K10" i="7"/>
  <c r="L10" i="7" s="1"/>
  <c r="L27" i="7" s="1"/>
  <c r="F6" i="5" l="1"/>
  <c r="J14" i="5"/>
  <c r="J10" i="5"/>
  <c r="E22" i="7"/>
  <c r="D28" i="7"/>
  <c r="B19" i="8"/>
  <c r="E17" i="7" s="1"/>
  <c r="F17" i="7" s="1"/>
  <c r="G17" i="7" s="1"/>
  <c r="B2" i="8"/>
  <c r="B3" i="8" s="1"/>
  <c r="B4" i="8" s="1"/>
  <c r="B5" i="8" s="1"/>
  <c r="B6" i="8" s="1"/>
  <c r="B7" i="8" s="1"/>
  <c r="B8" i="8" s="1"/>
  <c r="B9" i="8" s="1"/>
  <c r="B10" i="8" s="1"/>
  <c r="B11" i="8" s="1"/>
  <c r="H5" i="8"/>
  <c r="H6" i="8" s="1"/>
  <c r="H7" i="8" s="1"/>
  <c r="H8" i="8" s="1"/>
  <c r="J24" i="5"/>
  <c r="J28" i="5"/>
  <c r="M10" i="7"/>
  <c r="K27" i="7"/>
  <c r="J27" i="7"/>
  <c r="E25" i="5"/>
  <c r="F25" i="5" s="1"/>
  <c r="E21" i="5"/>
  <c r="F21" i="5" s="1"/>
  <c r="E17" i="5"/>
  <c r="F17" i="5" s="1"/>
  <c r="F7" i="5"/>
  <c r="F22" i="7" l="1"/>
  <c r="E28" i="7"/>
  <c r="B13" i="8"/>
  <c r="H11" i="8"/>
  <c r="H10" i="8"/>
  <c r="M27" i="7"/>
  <c r="K7" i="7"/>
  <c r="L7" i="7" s="1"/>
  <c r="M7" i="7" s="1"/>
  <c r="I5" i="7"/>
  <c r="H5" i="7"/>
  <c r="H17" i="7"/>
  <c r="I17" i="7" s="1"/>
  <c r="J17" i="7" s="1"/>
  <c r="K17" i="7" s="1"/>
  <c r="L17" i="7" s="1"/>
  <c r="E12" i="5"/>
  <c r="F12" i="5" s="1"/>
  <c r="L11" i="5"/>
  <c r="E27" i="5"/>
  <c r="F27" i="5" s="1"/>
  <c r="E26" i="5"/>
  <c r="F26" i="5" s="1"/>
  <c r="E23" i="5"/>
  <c r="F23" i="5" s="1"/>
  <c r="E22" i="5"/>
  <c r="F22" i="5" s="1"/>
  <c r="E33" i="5"/>
  <c r="E19" i="5"/>
  <c r="F19" i="5" s="1"/>
  <c r="E18" i="5"/>
  <c r="F18" i="5" s="1"/>
  <c r="G1" i="5"/>
  <c r="G31" i="5" s="1"/>
  <c r="E13" i="5"/>
  <c r="F13" i="5" s="1"/>
  <c r="H13" i="5" s="1"/>
  <c r="H14" i="5" s="1"/>
  <c r="E9" i="5"/>
  <c r="F9" i="5" s="1"/>
  <c r="E8" i="5"/>
  <c r="F8" i="5" s="1"/>
  <c r="E5" i="5"/>
  <c r="F5" i="5" s="1"/>
  <c r="E4" i="5"/>
  <c r="F4" i="5" s="1"/>
  <c r="F10" i="5" l="1"/>
  <c r="F14" i="5"/>
  <c r="E34" i="5"/>
  <c r="F34" i="5" s="1"/>
  <c r="L31" i="5"/>
  <c r="B9" i="7"/>
  <c r="B14" i="7" s="1"/>
  <c r="B20" i="7" s="1"/>
  <c r="B26" i="7" s="1"/>
  <c r="F24" i="5"/>
  <c r="F33" i="5"/>
  <c r="H33" i="5" s="1"/>
  <c r="H34" i="5" s="1"/>
  <c r="F32" i="5"/>
  <c r="G32" i="5" s="1"/>
  <c r="G22" i="7"/>
  <c r="F28" i="7"/>
  <c r="F28" i="5"/>
  <c r="H23" i="5"/>
  <c r="H24" i="5" s="1"/>
  <c r="I1" i="5"/>
  <c r="I13" i="5" s="1"/>
  <c r="G13" i="5"/>
  <c r="G9" i="5"/>
  <c r="G27" i="5"/>
  <c r="G21" i="5"/>
  <c r="G12" i="5"/>
  <c r="G7" i="5"/>
  <c r="G26" i="5"/>
  <c r="L26" i="5" s="1"/>
  <c r="G8" i="5"/>
  <c r="G25" i="5"/>
  <c r="G4" i="5"/>
  <c r="G5" i="5"/>
  <c r="G22" i="5"/>
  <c r="L22" i="5" s="1"/>
  <c r="G17" i="5"/>
  <c r="G23" i="5"/>
  <c r="G3" i="5"/>
  <c r="H27" i="5"/>
  <c r="H28" i="5" s="1"/>
  <c r="G19" i="5"/>
  <c r="H19" i="5"/>
  <c r="G18" i="5"/>
  <c r="L18" i="5" s="1"/>
  <c r="H4" i="5"/>
  <c r="H5" i="5"/>
  <c r="K25" i="5"/>
  <c r="K28" i="5" s="1"/>
  <c r="K12" i="5"/>
  <c r="K14" i="5" s="1"/>
  <c r="K21" i="5"/>
  <c r="K24" i="5" s="1"/>
  <c r="K17" i="5"/>
  <c r="K3" i="5"/>
  <c r="H9" i="5"/>
  <c r="H10" i="5" s="1"/>
  <c r="M17" i="7"/>
  <c r="G6" i="5" l="1"/>
  <c r="L3" i="5"/>
  <c r="L6" i="5" s="1"/>
  <c r="B8" i="7"/>
  <c r="G10" i="5"/>
  <c r="G14" i="5"/>
  <c r="G33" i="5"/>
  <c r="G34" i="5" s="1"/>
  <c r="H22" i="7"/>
  <c r="I22" i="7" s="1"/>
  <c r="G28" i="7"/>
  <c r="L13" i="5"/>
  <c r="L17" i="5"/>
  <c r="G28" i="5"/>
  <c r="L25" i="5"/>
  <c r="I19" i="5"/>
  <c r="I23" i="5"/>
  <c r="I24" i="5" s="1"/>
  <c r="I9" i="5"/>
  <c r="I10" i="5" s="1"/>
  <c r="I27" i="5"/>
  <c r="I28" i="5" s="1"/>
  <c r="I33" i="5"/>
  <c r="I34" i="5" s="1"/>
  <c r="I4" i="5"/>
  <c r="G24" i="5"/>
  <c r="L21" i="5"/>
  <c r="K6" i="7"/>
  <c r="J5" i="7"/>
  <c r="I5" i="5"/>
  <c r="I12" i="5"/>
  <c r="I14" i="5" s="1"/>
  <c r="K22" i="7" l="1"/>
  <c r="I28" i="7"/>
  <c r="D20" i="7"/>
  <c r="D26" i="7" s="1"/>
  <c r="D8" i="7"/>
  <c r="H28" i="7"/>
  <c r="L27" i="5"/>
  <c r="L19" i="5"/>
  <c r="B13" i="7"/>
  <c r="L23" i="5"/>
  <c r="L14" i="5"/>
  <c r="L6" i="7"/>
  <c r="L5" i="7" s="1"/>
  <c r="K5" i="7"/>
  <c r="F15" i="7" l="1"/>
  <c r="G15" i="7" s="1"/>
  <c r="H15" i="7" s="1"/>
  <c r="I15" i="7" s="1"/>
  <c r="J15" i="7" s="1"/>
  <c r="K15" i="7" s="1"/>
  <c r="L15" i="7" s="1"/>
  <c r="L34" i="5"/>
  <c r="L28" i="5"/>
  <c r="F9" i="7"/>
  <c r="E8" i="7"/>
  <c r="E20" i="7"/>
  <c r="E26" i="7" s="1"/>
  <c r="M22" i="7"/>
  <c r="J28" i="7"/>
  <c r="L20" i="5"/>
  <c r="D13" i="7"/>
  <c r="L24" i="5"/>
  <c r="M5" i="7"/>
  <c r="M6" i="7"/>
  <c r="M15" i="7" l="1"/>
  <c r="G9" i="7"/>
  <c r="F14" i="7"/>
  <c r="F20" i="7" s="1"/>
  <c r="F26" i="7" s="1"/>
  <c r="F8" i="7"/>
  <c r="C8" i="7"/>
  <c r="M28" i="7"/>
  <c r="K28" i="7"/>
  <c r="E5" i="8"/>
  <c r="E6" i="8" s="1"/>
  <c r="E7" i="8" s="1"/>
  <c r="E8" i="8" s="1"/>
  <c r="E9" i="8" s="1"/>
  <c r="E10" i="8" s="1"/>
  <c r="E11" i="8" s="1"/>
  <c r="E12" i="8" s="1"/>
  <c r="D24" i="7"/>
  <c r="H9" i="7" l="1"/>
  <c r="G8" i="7"/>
  <c r="G14" i="7"/>
  <c r="G20" i="7" s="1"/>
  <c r="G26" i="7" s="1"/>
  <c r="C20" i="7"/>
  <c r="C13" i="7"/>
  <c r="F16" i="7"/>
  <c r="E13" i="7"/>
  <c r="E24" i="7" s="1"/>
  <c r="E4" i="8"/>
  <c r="D4" i="7"/>
  <c r="D18" i="7"/>
  <c r="D12" i="7" s="1"/>
  <c r="C26" i="7" l="1"/>
  <c r="E3" i="8"/>
  <c r="I9" i="7"/>
  <c r="H14" i="7"/>
  <c r="H20" i="7" s="1"/>
  <c r="H26" i="7" s="1"/>
  <c r="H8" i="7"/>
  <c r="G16" i="7"/>
  <c r="F13" i="7"/>
  <c r="D23" i="7"/>
  <c r="D25" i="7"/>
  <c r="J9" i="7" l="1"/>
  <c r="I8" i="7"/>
  <c r="I14" i="7"/>
  <c r="I20" i="7" s="1"/>
  <c r="I26" i="7" s="1"/>
  <c r="H16" i="7"/>
  <c r="G13" i="7"/>
  <c r="G24" i="7" s="1"/>
  <c r="G4" i="7"/>
  <c r="F18" i="7"/>
  <c r="F12" i="7" s="1"/>
  <c r="F24" i="7"/>
  <c r="E4" i="7"/>
  <c r="J14" i="7" l="1"/>
  <c r="J20" i="7" s="1"/>
  <c r="J26" i="7" s="1"/>
  <c r="K9" i="7"/>
  <c r="J8" i="7"/>
  <c r="I16" i="7"/>
  <c r="H13" i="7"/>
  <c r="G18" i="7"/>
  <c r="G12" i="7" s="1"/>
  <c r="E18" i="7"/>
  <c r="E12" i="7" s="1"/>
  <c r="F4" i="7"/>
  <c r="F23" i="7" s="1"/>
  <c r="F25" i="7"/>
  <c r="L9" i="7" l="1"/>
  <c r="K14" i="7"/>
  <c r="K20" i="7" s="1"/>
  <c r="K26" i="7" s="1"/>
  <c r="K8" i="7"/>
  <c r="J16" i="7"/>
  <c r="I13" i="7"/>
  <c r="I24" i="7" s="1"/>
  <c r="H24" i="7"/>
  <c r="G23" i="7"/>
  <c r="H18" i="7"/>
  <c r="H12" i="7" s="1"/>
  <c r="E25" i="7"/>
  <c r="E23" i="7"/>
  <c r="G25" i="7"/>
  <c r="H4" i="7"/>
  <c r="L8" i="7" l="1"/>
  <c r="L14" i="7"/>
  <c r="L20" i="7" s="1"/>
  <c r="L26" i="7" s="1"/>
  <c r="M9" i="7"/>
  <c r="K16" i="7"/>
  <c r="J13" i="7"/>
  <c r="J24" i="7" s="1"/>
  <c r="I18" i="7"/>
  <c r="I12" i="7" s="1"/>
  <c r="H25" i="7"/>
  <c r="H23" i="7"/>
  <c r="L16" i="7" l="1"/>
  <c r="L13" i="7" s="1"/>
  <c r="K13" i="7"/>
  <c r="K24" i="7" s="1"/>
  <c r="J18" i="7"/>
  <c r="J12" i="7" s="1"/>
  <c r="J4" i="7"/>
  <c r="I4" i="7"/>
  <c r="I23" i="7" s="1"/>
  <c r="I25" i="7"/>
  <c r="M16" i="7" l="1"/>
  <c r="L24" i="7"/>
  <c r="L18" i="7"/>
  <c r="J23" i="7"/>
  <c r="K18" i="7"/>
  <c r="K12" i="7" s="1"/>
  <c r="J25" i="7"/>
  <c r="K4" i="7"/>
  <c r="L12" i="7" l="1"/>
  <c r="K23" i="7"/>
  <c r="K25" i="7"/>
  <c r="L25" i="7"/>
  <c r="L4" i="7"/>
  <c r="L23" i="7" l="1"/>
  <c r="C24" i="7" l="1"/>
  <c r="C18" i="7"/>
  <c r="C25" i="7" s="1"/>
  <c r="C4" i="7"/>
  <c r="C12" i="7" l="1"/>
  <c r="C23" i="7" l="1"/>
  <c r="E2" i="8"/>
  <c r="E13" i="8" s="1"/>
  <c r="M13" i="7" l="1"/>
  <c r="M8" i="7"/>
  <c r="B4" i="7"/>
  <c r="M4" i="7" s="1"/>
  <c r="B24" i="7"/>
  <c r="M26" i="7"/>
  <c r="M14" i="7"/>
  <c r="M20" i="7"/>
  <c r="B18" i="7" l="1"/>
  <c r="M18" i="7" l="1"/>
  <c r="M25" i="7" s="1"/>
  <c r="B12" i="7"/>
  <c r="M12" i="7" s="1"/>
  <c r="M24" i="7"/>
  <c r="B25" i="7"/>
  <c r="M23" i="7" l="1"/>
  <c r="B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tc={51D70B8B-BCB9-413B-853D-9935A214C6F5}</author>
    <author>tc={E20F1866-1021-4355-92B2-D2426B87F518}</author>
    <author>tc={427AB778-0510-45AA-AB7A-217D69A8F319}</author>
    <author>tc={F026D988-F3D7-4E35-8BE4-AA045FA1109E}</author>
  </authors>
  <commentList>
    <comment ref="M8" authorId="0" shapeId="0" xr:uid="{51D70B8B-BCB9-413B-853D-9935A214C6F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Uwaga: w przypadku zmiany poz.M15 nastąpi zmiana tej wartości</t>
      </text>
    </comment>
    <comment ref="H10" authorId="1" shapeId="0" xr:uid="{E20F1866-1021-4355-92B2-D2426B87F51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Prośba do DGK o weryfikację poprawności tych danych (wysokosci kwot w wierszu 15 i 16 tabeli) zgodnie z założeniami przyjętymi przez DGK: "dochody z tytułu podziemnego bezzbiornikowego magazynowania wodoru powinny pojawić się w 2027 r., a z podziemnego składowania dwutlenku węgla w roku 2029." w tym potwierdzenie, że dochód z tytułu opłat za CCS w skali 0-10 wynosi 129,108 mln zł, z z tytułu magazynownia wodoru 3,275 mln zł.</t>
      </text>
    </comment>
    <comment ref="A16" authorId="2" shapeId="0" xr:uid="{427AB778-0510-45AA-AB7A-217D69A8F31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(9 -limit wynagrodzeń MKiŚ w cz. 41 Środowisko- docleowo cz. Geologia; 3 - dodatkowe środki tj.rezerwa celowa poz.19)</t>
      </text>
    </comment>
    <comment ref="B21" authorId="3" shapeId="0" xr:uid="{F026D988-F3D7-4E35-8BE4-AA045FA1109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1) W zwiażku z uwagą MF odjęto koszt wojewódzkich planów zagospodarowania przestrzennego (budzet województwa) w wysokosći w roku 0 - 254 tys zł (0,254 mln zł) i w latach 1-10 - 127 tys zł (0,127 mln zł):
0,356-0,254=0,102 mln zł (rocznie lata 0-2)
0,178-0,127=0,051 mln zł ( rocznie 51 tys zł) (3-10 rok)
2) W związku z decyzją o przesunieciu środków z dotacji udzielanych na realizację zadań starostom powiatowym na rzecz urzędów marszlkowskich w celu zapewnienia finansowania od 2023 roku 16 etatów (z 32 dla UM) JST poniesnie koszt z tym związny począwszy w roku 2023 (tabela: rok 1) wyniesie: 1,64 mln zł, a w latach następnych (od 2024 roku, tabela: lata 2-10) 1,57 mln zł/rok.
Wyliczenia szczegółowe:
Roczne koszty 32 etatów UM:
3,28 mln zł – rok 0
2901350,4+251812,704 (DWR)= 3 153 163,104=3,15 mln zł (1-10 lat)
Roczny koszt 16 etatów UM  z podziałem na harmonogram i  źródła ich finansowania w poszczególnych latach:
3282502,4/2 = 1641251,2=1,64 mln zł – rok 0 (bez DWR) 2022 rok – rezerwa celowa budżetu państwa;
2023 rok – dotacje przeniesione ze starostw na marszałków)
2901305,4/2+251812/2=1 450 675,2+ 125 906,352= 1 576 581,552=1,57 mln zł– lata następne (od 1 roku do 10+rok 0+DWRy) 
Od 2023 – rezerwa celowa budżetu państwa; 
Od 2024 – dotacje przeniesione ze starostw na marszałków</t>
      </text>
    </comment>
  </commentList>
</comments>
</file>

<file path=xl/sharedStrings.xml><?xml version="1.0" encoding="utf-8"?>
<sst xmlns="http://schemas.openxmlformats.org/spreadsheetml/2006/main" count="145" uniqueCount="99">
  <si>
    <t>(ceny stałe z 2021 r.)</t>
  </si>
  <si>
    <t>Skutki w okresie 10 lat od wejścia w życie zmian [mln zł]</t>
  </si>
  <si>
    <r>
      <t>Łącznie</t>
    </r>
    <r>
      <rPr>
        <u/>
        <sz val="9"/>
        <color rgb="FF000000"/>
        <rFont val="Times New Roman"/>
        <family val="1"/>
        <charset val="238"/>
      </rPr>
      <t xml:space="preserve"> 0-10</t>
    </r>
  </si>
  <si>
    <t>budżet państwa</t>
  </si>
  <si>
    <t>JST</t>
  </si>
  <si>
    <t xml:space="preserve">JST </t>
  </si>
  <si>
    <t xml:space="preserve">budżet państwa </t>
  </si>
  <si>
    <t>liczba etatów</t>
  </si>
  <si>
    <t>wynagrodzenie brutto miesięcznie</t>
  </si>
  <si>
    <t>DWR</t>
  </si>
  <si>
    <t>wynagrodzenie brutto rocznie dla wsz. Etatów</t>
  </si>
  <si>
    <r>
      <rPr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scheme val="minor"/>
      </rPr>
      <t xml:space="preserve"> ROK</t>
    </r>
  </si>
  <si>
    <t>DOCHODY ogółem</t>
  </si>
  <si>
    <t>WYDATKI ogółem</t>
  </si>
  <si>
    <t>SALDO ogółem</t>
  </si>
  <si>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ROK</t>
    </r>
  </si>
  <si>
    <t>SUMA**</t>
  </si>
  <si>
    <t>MKiŚ</t>
  </si>
  <si>
    <t>Urzędy Marszałkowskie</t>
  </si>
  <si>
    <t>MKiŚ /z MI</t>
  </si>
  <si>
    <t>Pochodne:
US - 16,24%
FP - 2,45%
PPK-1,5%</t>
  </si>
  <si>
    <t>DWR- pochodone</t>
  </si>
  <si>
    <r>
      <rPr>
        <sz val="11"/>
        <color rgb="FFFF0000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ROK</t>
    </r>
  </si>
  <si>
    <t>odpisy - ZFŚS
(1662,97)</t>
  </si>
  <si>
    <t>Utworzenie stanowiska pracy
(14 540zł)</t>
  </si>
  <si>
    <t>MKiŚ - nowe etaty MF</t>
  </si>
  <si>
    <t>MKIŚ- etaty posiadane</t>
  </si>
  <si>
    <t>MKIŚ - suma</t>
  </si>
  <si>
    <t>pozostałe jednostki (NFOŚiGW)
Reguła wydatkowa CCS</t>
  </si>
  <si>
    <t xml:space="preserve">Reguła wydatkowa art. 25 (węglowodorowa) </t>
  </si>
  <si>
    <t>użytkowanie górnicze - wodór</t>
  </si>
  <si>
    <t>użytkowanie górnicze -CCS</t>
  </si>
  <si>
    <r>
      <rPr>
        <b/>
        <sz val="9"/>
        <rFont val="Times New Roman"/>
        <family val="1"/>
        <charset val="238"/>
      </rPr>
      <t>12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etatów MKiŚ</t>
    </r>
  </si>
  <si>
    <r>
      <t xml:space="preserve">Wojewódzództwa 
</t>
    </r>
    <r>
      <rPr>
        <sz val="8"/>
        <color theme="1"/>
        <rFont val="Times New Roman"/>
        <family val="1"/>
        <charset val="238"/>
      </rPr>
      <t>(koszty sporządzenia PZPW)</t>
    </r>
  </si>
  <si>
    <r>
      <rPr>
        <b/>
        <sz val="8"/>
        <color theme="1"/>
        <rFont val="Times New Roman"/>
        <family val="1"/>
        <charset val="238"/>
      </rPr>
      <t>Gminy</t>
    </r>
    <r>
      <rPr>
        <sz val="8"/>
        <color theme="1"/>
        <rFont val="Times New Roman"/>
        <family val="1"/>
        <charset val="238"/>
      </rPr>
      <t xml:space="preserve">
opracowania planistyczne gmin</t>
    </r>
  </si>
  <si>
    <t>Województwa</t>
  </si>
  <si>
    <t>Gminy</t>
  </si>
  <si>
    <t>SUMA 0-10</t>
  </si>
  <si>
    <t>SUMA**
w mln zł</t>
  </si>
  <si>
    <t>wynagrodzenie brutto rocznie dla wsz. Etatów 
/zł/</t>
  </si>
  <si>
    <t>wynagrodzenie brutto rocznie dla wsz. Etatów 
/mln zł/</t>
  </si>
  <si>
    <t>Pochodne:
US - 16,24%
FP - 2,45%
PPK-1,5%
mln zł</t>
  </si>
  <si>
    <t>DWR
mln zł</t>
  </si>
  <si>
    <t>DWR- pochodone
mln zł</t>
  </si>
  <si>
    <t>odpisy - ZFŚS
(1662,97)
mln zł</t>
  </si>
  <si>
    <t>Utworzenie stanowiska pracy
mln zł</t>
  </si>
  <si>
    <t>Tabela zbiorcza</t>
  </si>
  <si>
    <t>MKiŚ - podział etatów</t>
  </si>
  <si>
    <t>2025 r.</t>
  </si>
  <si>
    <t>2026 r.</t>
  </si>
  <si>
    <t>2027 r.</t>
  </si>
  <si>
    <t>2028 r.</t>
  </si>
  <si>
    <t>2029 r.</t>
  </si>
  <si>
    <t>2030 r.</t>
  </si>
  <si>
    <t>2031 r.</t>
  </si>
  <si>
    <t>2032 r.</t>
  </si>
  <si>
    <t>2033 r.</t>
  </si>
  <si>
    <t>2034 r.</t>
  </si>
  <si>
    <t>SUMA</t>
  </si>
  <si>
    <t>2022 r.</t>
  </si>
  <si>
    <t>2023 r.</t>
  </si>
  <si>
    <t>2024 r.</t>
  </si>
  <si>
    <t>NFOŚiGW</t>
  </si>
  <si>
    <t>dla cz. Budżetowej 
85-województwa
w mln zł</t>
  </si>
  <si>
    <t>W ustawie z dnia 11 lipca 2014 r. o zmianie ustawy – P.g.g.</t>
  </si>
  <si>
    <t>Koszty 32 etatów</t>
  </si>
  <si>
    <t>kwota z nowelizacji 2014</t>
  </si>
  <si>
    <t>wzrost kwoty bazowej /waloryzacja 2019 r. i 2020 r.</t>
  </si>
  <si>
    <t>wartość 2022</t>
  </si>
  <si>
    <t>wartość 2022
zaokrąglenie do pełnych tys. zł.</t>
  </si>
  <si>
    <t>kwota bazowa</t>
  </si>
  <si>
    <t>wzrost kwotowy</t>
  </si>
  <si>
    <t>wzrost procentowy</t>
  </si>
  <si>
    <t>ustawa z 2013</t>
  </si>
  <si>
    <t>inflacja</t>
  </si>
  <si>
    <r>
      <rPr>
        <b/>
        <sz val="10.5"/>
        <rFont val="Times New Roman"/>
        <family val="1"/>
        <charset val="238"/>
      </rPr>
      <t xml:space="preserve">pozostałe jednostki (NFOŚiGW) </t>
    </r>
    <r>
      <rPr>
        <sz val="10.5"/>
        <rFont val="Times New Roman"/>
        <family val="1"/>
        <charset val="238"/>
      </rPr>
      <t>opłaty za podziemne składowanie CO2 i podziemne bezzbiornikowe magazynowanie wodoru</t>
    </r>
  </si>
  <si>
    <r>
      <rPr>
        <b/>
        <sz val="9"/>
        <rFont val="Times New Roman"/>
        <family val="1"/>
        <charset val="238"/>
      </rPr>
      <t>Gminy</t>
    </r>
    <r>
      <rPr>
        <sz val="9"/>
        <rFont val="Times New Roman"/>
        <family val="1"/>
        <charset val="238"/>
      </rPr>
      <t xml:space="preserve">
opłaty za podziemne składowanie CO2 i podziemne bezzbiornikowe magazynowanie wodoru</t>
    </r>
  </si>
  <si>
    <r>
      <t xml:space="preserve">pozostałe jednostki (NFOŚiGW)
</t>
    </r>
    <r>
      <rPr>
        <sz val="9"/>
        <rFont val="Times New Roman"/>
        <family val="1"/>
        <charset val="238"/>
      </rPr>
      <t>opłaty za podziemne składowanie CO2 i podziemne bezzbiornikowe magazynowanie wodoru</t>
    </r>
  </si>
  <si>
    <t>32 etaty UM 
(dodatkowe koszty budżet państwa)</t>
  </si>
  <si>
    <t>Województwa dotacje z 85, par. 211</t>
  </si>
  <si>
    <t xml:space="preserve">3 etaty w  WUG </t>
  </si>
  <si>
    <t>WUG</t>
  </si>
  <si>
    <t>etaty w WUG</t>
  </si>
  <si>
    <r>
      <t xml:space="preserve">Wojeówdztwa
</t>
    </r>
    <r>
      <rPr>
        <i/>
        <sz val="8"/>
        <color theme="1"/>
        <rFont val="Times New Roman"/>
        <family val="1"/>
        <charset val="238"/>
      </rPr>
      <t>Koszt 32 etatów</t>
    </r>
    <r>
      <rPr>
        <b/>
        <i/>
        <sz val="8"/>
        <color theme="1"/>
        <rFont val="Times New Roman"/>
        <family val="1"/>
        <charset val="238"/>
      </rPr>
      <t xml:space="preserve"> w UM</t>
    </r>
  </si>
  <si>
    <t>2 ROK</t>
  </si>
  <si>
    <t>3 ROK</t>
  </si>
  <si>
    <t>2 ROK /2023/</t>
  </si>
  <si>
    <t>3 ROK /2024/</t>
  </si>
  <si>
    <t>1 ROK /2022-4m./</t>
  </si>
  <si>
    <t>1 ROK /2022-0m./</t>
  </si>
  <si>
    <t>1 ROK /2022 - 4m./</t>
  </si>
  <si>
    <t>wynagrodzenie brutto rocznie dla wsz. Etatów w mln</t>
  </si>
  <si>
    <t>Pochodne:
US - 16,24%
FP - 2,45%
PPK-1,5% 
w mln</t>
  </si>
  <si>
    <t>DWR
w mln</t>
  </si>
  <si>
    <t>SUMA** w mln zł</t>
  </si>
  <si>
    <t>Utworzenie stanowiska pracy
(10 000zł)</t>
  </si>
  <si>
    <t>Reguła wydatkowa 
- art. 23</t>
  </si>
  <si>
    <t>Reguła 
wydatkowa
art. 74</t>
  </si>
  <si>
    <t>Reguła wydatkowa art.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</si>
</sst>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?\ _z_ł_-;_-@_-"/>
    <numFmt numFmtId="167" formatCode="_-* #,##0.0\ _z_ł_-;\-* #,##0.0\ _z_ł_-;_-* &quot;-&quot;?\ _z_ł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i/>
      <u/>
      <sz val="9"/>
      <color rgb="FF000000"/>
      <name val="Times New Roman"/>
      <family val="1"/>
      <charset val="238"/>
    </font>
    <font>
      <b/>
      <sz val="10.5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0" tint="-0.1499984740745262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0.5"/>
      <name val="Times New Roman"/>
      <family val="1"/>
      <charset val="238"/>
    </font>
    <font>
      <b/>
      <sz val="10.5"/>
      <name val="Times New Roman"/>
      <family val="1"/>
      <charset val="238"/>
    </font>
    <font>
      <sz val="9"/>
      <color rgb="FF9933FF"/>
      <name val="Times New Roman"/>
      <family val="1"/>
      <charset val="238"/>
    </font>
    <font>
      <sz val="9"/>
      <color rgb="FF9933FF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6" xfId="0" applyNumberFormat="1" applyBorder="1" applyAlignment="1">
      <alignment vertical="top" wrapText="1"/>
    </xf>
    <xf numFmtId="164" fontId="15" fillId="0" borderId="6" xfId="0" applyNumberFormat="1" applyFont="1" applyBorder="1" applyAlignment="1">
      <alignment vertical="top"/>
    </xf>
    <xf numFmtId="164" fontId="0" fillId="12" borderId="6" xfId="0" applyNumberFormat="1" applyFill="1" applyBorder="1" applyAlignment="1">
      <alignment vertical="top"/>
    </xf>
    <xf numFmtId="0" fontId="5" fillId="7" borderId="6" xfId="0" applyFont="1" applyFill="1" applyBorder="1" applyAlignment="1">
      <alignment horizontal="center" vertical="top"/>
    </xf>
    <xf numFmtId="10" fontId="16" fillId="0" borderId="0" xfId="0" applyNumberFormat="1" applyFont="1" applyAlignment="1">
      <alignment horizontal="center" vertical="center" wrapText="1"/>
    </xf>
    <xf numFmtId="44" fontId="16" fillId="8" borderId="0" xfId="0" applyNumberFormat="1" applyFont="1" applyFill="1" applyAlignment="1">
      <alignment horizontal="center" vertical="center" shrinkToFit="1"/>
    </xf>
    <xf numFmtId="10" fontId="16" fillId="0" borderId="0" xfId="0" applyNumberFormat="1" applyFont="1" applyAlignment="1">
      <alignment horizontal="center" vertical="center"/>
    </xf>
    <xf numFmtId="42" fontId="16" fillId="8" borderId="0" xfId="0" applyNumberFormat="1" applyFont="1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20" fillId="15" borderId="9" xfId="0" applyFont="1" applyFill="1" applyBorder="1" applyAlignment="1">
      <alignment vertical="top" wrapText="1"/>
    </xf>
    <xf numFmtId="0" fontId="21" fillId="15" borderId="9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164" fontId="20" fillId="12" borderId="6" xfId="0" applyNumberFormat="1" applyFont="1" applyFill="1" applyBorder="1" applyAlignment="1">
      <alignment vertical="top"/>
    </xf>
    <xf numFmtId="0" fontId="4" fillId="7" borderId="6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vertical="top"/>
    </xf>
    <xf numFmtId="0" fontId="5" fillId="10" borderId="0" xfId="0" applyFont="1" applyFill="1" applyBorder="1" applyAlignment="1">
      <alignment vertical="top"/>
    </xf>
    <xf numFmtId="0" fontId="0" fillId="10" borderId="0" xfId="0" applyFill="1"/>
    <xf numFmtId="0" fontId="20" fillId="15" borderId="9" xfId="0" applyFont="1" applyFill="1" applyBorder="1"/>
    <xf numFmtId="0" fontId="0" fillId="7" borderId="1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 wrapText="1"/>
    </xf>
    <xf numFmtId="0" fontId="1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right" vertical="center" wrapText="1"/>
    </xf>
    <xf numFmtId="166" fontId="0" fillId="0" borderId="0" xfId="0" applyNumberFormat="1"/>
    <xf numFmtId="166" fontId="13" fillId="8" borderId="6" xfId="0" applyNumberFormat="1" applyFont="1" applyFill="1" applyBorder="1" applyAlignment="1">
      <alignment horizontal="right" vertical="center" wrapText="1"/>
    </xf>
    <xf numFmtId="166" fontId="15" fillId="0" borderId="6" xfId="0" applyNumberFormat="1" applyFont="1" applyBorder="1" applyAlignment="1">
      <alignment vertical="top"/>
    </xf>
    <xf numFmtId="166" fontId="0" fillId="0" borderId="6" xfId="0" applyNumberFormat="1" applyBorder="1" applyAlignment="1">
      <alignment vertical="top" wrapText="1"/>
    </xf>
    <xf numFmtId="166" fontId="0" fillId="0" borderId="6" xfId="0" applyNumberFormat="1" applyBorder="1" applyAlignment="1">
      <alignment vertical="top"/>
    </xf>
    <xf numFmtId="166" fontId="0" fillId="10" borderId="6" xfId="0" applyNumberFormat="1" applyFill="1" applyBorder="1" applyAlignment="1">
      <alignment vertical="top"/>
    </xf>
    <xf numFmtId="166" fontId="15" fillId="0" borderId="6" xfId="0" applyNumberFormat="1" applyFont="1" applyBorder="1" applyAlignment="1">
      <alignment vertical="center"/>
    </xf>
    <xf numFmtId="166" fontId="15" fillId="11" borderId="6" xfId="0" applyNumberFormat="1" applyFont="1" applyFill="1" applyBorder="1" applyAlignment="1">
      <alignment vertical="top"/>
    </xf>
    <xf numFmtId="166" fontId="0" fillId="12" borderId="6" xfId="0" applyNumberFormat="1" applyFill="1" applyBorder="1" applyAlignment="1">
      <alignment vertical="top"/>
    </xf>
    <xf numFmtId="0" fontId="3" fillId="7" borderId="6" xfId="0" applyFont="1" applyFill="1" applyBorder="1" applyAlignment="1">
      <alignment vertical="top"/>
    </xf>
    <xf numFmtId="0" fontId="5" fillId="7" borderId="6" xfId="0" applyFont="1" applyFill="1" applyBorder="1" applyAlignment="1">
      <alignment vertical="top"/>
    </xf>
    <xf numFmtId="166" fontId="5" fillId="7" borderId="6" xfId="0" applyNumberFormat="1" applyFont="1" applyFill="1" applyBorder="1" applyAlignment="1">
      <alignment vertical="top"/>
    </xf>
    <xf numFmtId="166" fontId="15" fillId="7" borderId="6" xfId="0" applyNumberFormat="1" applyFont="1" applyFill="1" applyBorder="1" applyAlignment="1">
      <alignment vertical="top"/>
    </xf>
    <xf numFmtId="164" fontId="0" fillId="11" borderId="6" xfId="0" applyNumberFormat="1" applyFill="1" applyBorder="1" applyAlignment="1">
      <alignment vertical="top" wrapText="1"/>
    </xf>
    <xf numFmtId="164" fontId="15" fillId="11" borderId="6" xfId="0" applyNumberFormat="1" applyFont="1" applyFill="1" applyBorder="1" applyAlignment="1">
      <alignment vertical="top"/>
    </xf>
    <xf numFmtId="166" fontId="0" fillId="16" borderId="6" xfId="0" applyNumberFormat="1" applyFill="1" applyBorder="1" applyAlignment="1">
      <alignment vertical="top"/>
    </xf>
    <xf numFmtId="0" fontId="4" fillId="7" borderId="6" xfId="0" applyFont="1" applyFill="1" applyBorder="1" applyAlignment="1">
      <alignment vertical="top"/>
    </xf>
    <xf numFmtId="0" fontId="3" fillId="11" borderId="6" xfId="0" applyFont="1" applyFill="1" applyBorder="1" applyAlignment="1">
      <alignment horizontal="center" vertical="top"/>
    </xf>
    <xf numFmtId="166" fontId="15" fillId="11" borderId="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right"/>
    </xf>
    <xf numFmtId="0" fontId="29" fillId="0" borderId="0" xfId="0" applyFont="1"/>
    <xf numFmtId="0" fontId="0" fillId="0" borderId="0" xfId="0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/>
    <xf numFmtId="0" fontId="29" fillId="17" borderId="22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wrapText="1"/>
    </xf>
    <xf numFmtId="0" fontId="31" fillId="17" borderId="14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9" fillId="17" borderId="14" xfId="0" applyFont="1" applyFill="1" applyBorder="1" applyAlignment="1">
      <alignment horizontal="center" vertical="top"/>
    </xf>
    <xf numFmtId="167" fontId="29" fillId="0" borderId="16" xfId="0" applyNumberFormat="1" applyFont="1" applyBorder="1" applyAlignment="1">
      <alignment horizontal="center"/>
    </xf>
    <xf numFmtId="0" fontId="24" fillId="17" borderId="14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4" fillId="0" borderId="6" xfId="0" applyFont="1" applyBorder="1" applyAlignment="1">
      <alignment wrapText="1"/>
    </xf>
    <xf numFmtId="44" fontId="31" fillId="0" borderId="6" xfId="0" applyNumberFormat="1" applyFont="1" applyBorder="1" applyAlignment="1">
      <alignment vertical="center"/>
    </xf>
    <xf numFmtId="10" fontId="31" fillId="0" borderId="6" xfId="0" applyNumberFormat="1" applyFont="1" applyBorder="1" applyAlignment="1">
      <alignment vertical="center"/>
    </xf>
    <xf numFmtId="44" fontId="31" fillId="0" borderId="6" xfId="0" applyNumberFormat="1" applyFont="1" applyBorder="1"/>
    <xf numFmtId="10" fontId="29" fillId="0" borderId="0" xfId="0" applyNumberFormat="1" applyFont="1" applyAlignment="1">
      <alignment horizontal="left"/>
    </xf>
    <xf numFmtId="9" fontId="29" fillId="0" borderId="0" xfId="0" applyNumberFormat="1" applyFont="1" applyAlignment="1">
      <alignment horizontal="left"/>
    </xf>
    <xf numFmtId="4" fontId="32" fillId="0" borderId="6" xfId="0" applyNumberFormat="1" applyFont="1" applyBorder="1"/>
    <xf numFmtId="0" fontId="29" fillId="0" borderId="6" xfId="0" applyFont="1" applyBorder="1"/>
    <xf numFmtId="10" fontId="29" fillId="0" borderId="6" xfId="0" applyNumberFormat="1" applyFont="1" applyBorder="1" applyAlignment="1">
      <alignment horizontal="left" shrinkToFit="1"/>
    </xf>
    <xf numFmtId="9" fontId="29" fillId="0" borderId="6" xfId="0" applyNumberFormat="1" applyFont="1" applyBorder="1" applyAlignment="1">
      <alignment horizontal="left" shrinkToFit="1"/>
    </xf>
    <xf numFmtId="4" fontId="29" fillId="0" borderId="0" xfId="0" applyNumberFormat="1" applyFont="1"/>
    <xf numFmtId="10" fontId="29" fillId="18" borderId="0" xfId="0" applyNumberFormat="1" applyFont="1" applyFill="1"/>
    <xf numFmtId="165" fontId="0" fillId="0" borderId="0" xfId="0" applyNumberFormat="1"/>
    <xf numFmtId="0" fontId="33" fillId="0" borderId="23" xfId="0" applyFont="1" applyBorder="1" applyAlignment="1">
      <alignment horizontal="center"/>
    </xf>
    <xf numFmtId="166" fontId="33" fillId="0" borderId="16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29" fillId="0" borderId="27" xfId="0" applyFont="1" applyBorder="1" applyAlignment="1">
      <alignment horizontal="center" vertical="center" wrapText="1"/>
    </xf>
    <xf numFmtId="44" fontId="29" fillId="0" borderId="28" xfId="0" applyNumberFormat="1" applyFont="1" applyBorder="1" applyAlignment="1">
      <alignment horizontal="left" vertical="top"/>
    </xf>
    <xf numFmtId="0" fontId="29" fillId="18" borderId="27" xfId="0" applyFont="1" applyFill="1" applyBorder="1" applyAlignment="1">
      <alignment horizontal="center"/>
    </xf>
    <xf numFmtId="166" fontId="29" fillId="18" borderId="28" xfId="0" applyNumberFormat="1" applyFont="1" applyFill="1" applyBorder="1"/>
    <xf numFmtId="0" fontId="29" fillId="19" borderId="27" xfId="0" applyFont="1" applyFill="1" applyBorder="1" applyAlignment="1">
      <alignment horizontal="center"/>
    </xf>
    <xf numFmtId="166" fontId="29" fillId="19" borderId="16" xfId="0" applyNumberFormat="1" applyFont="1" applyFill="1" applyBorder="1" applyAlignment="1">
      <alignment horizontal="center"/>
    </xf>
    <xf numFmtId="166" fontId="30" fillId="19" borderId="25" xfId="0" applyNumberFormat="1" applyFont="1" applyFill="1" applyBorder="1" applyAlignment="1">
      <alignment horizontal="center"/>
    </xf>
    <xf numFmtId="0" fontId="0" fillId="18" borderId="0" xfId="0" applyFill="1"/>
    <xf numFmtId="164" fontId="0" fillId="5" borderId="6" xfId="0" applyNumberFormat="1" applyFill="1" applyBorder="1" applyAlignment="1">
      <alignment vertical="top" wrapText="1"/>
    </xf>
    <xf numFmtId="164" fontId="2" fillId="5" borderId="6" xfId="0" applyNumberFormat="1" applyFont="1" applyFill="1" applyBorder="1" applyAlignment="1">
      <alignment vertical="top"/>
    </xf>
    <xf numFmtId="166" fontId="15" fillId="5" borderId="6" xfId="0" applyNumberFormat="1" applyFont="1" applyFill="1" applyBorder="1" applyAlignment="1">
      <alignment vertical="center"/>
    </xf>
    <xf numFmtId="166" fontId="0" fillId="5" borderId="6" xfId="0" applyNumberFormat="1" applyFill="1" applyBorder="1" applyAlignment="1">
      <alignment vertical="center" wrapText="1"/>
    </xf>
    <xf numFmtId="166" fontId="15" fillId="5" borderId="6" xfId="0" applyNumberFormat="1" applyFont="1" applyFill="1" applyBorder="1" applyAlignment="1">
      <alignment vertical="top"/>
    </xf>
    <xf numFmtId="166" fontId="0" fillId="5" borderId="6" xfId="0" applyNumberFormat="1" applyFill="1" applyBorder="1" applyAlignment="1">
      <alignment vertical="top"/>
    </xf>
    <xf numFmtId="166" fontId="0" fillId="5" borderId="6" xfId="0" applyNumberFormat="1" applyFill="1" applyBorder="1" applyAlignment="1">
      <alignment vertical="center"/>
    </xf>
    <xf numFmtId="166" fontId="0" fillId="5" borderId="6" xfId="0" applyNumberFormat="1" applyFill="1" applyBorder="1" applyAlignment="1">
      <alignment vertical="top" wrapText="1"/>
    </xf>
    <xf numFmtId="164" fontId="0" fillId="10" borderId="6" xfId="0" applyNumberFormat="1" applyFill="1" applyBorder="1" applyAlignment="1">
      <alignment vertical="top" wrapText="1"/>
    </xf>
    <xf numFmtId="44" fontId="29" fillId="20" borderId="16" xfId="0" applyNumberFormat="1" applyFont="1" applyFill="1" applyBorder="1" applyAlignment="1">
      <alignment horizontal="left" vertical="top"/>
    </xf>
    <xf numFmtId="44" fontId="30" fillId="20" borderId="25" xfId="0" applyNumberFormat="1" applyFont="1" applyFill="1" applyBorder="1"/>
    <xf numFmtId="166" fontId="29" fillId="20" borderId="16" xfId="0" applyNumberFormat="1" applyFont="1" applyFill="1" applyBorder="1"/>
    <xf numFmtId="166" fontId="30" fillId="20" borderId="25" xfId="0" applyNumberFormat="1" applyFont="1" applyFill="1" applyBorder="1"/>
    <xf numFmtId="166" fontId="29" fillId="20" borderId="16" xfId="0" applyNumberFormat="1" applyFont="1" applyFill="1" applyBorder="1" applyAlignment="1">
      <alignment horizontal="center"/>
    </xf>
    <xf numFmtId="165" fontId="12" fillId="3" borderId="21" xfId="0" applyNumberFormat="1" applyFont="1" applyFill="1" applyBorder="1" applyAlignment="1">
      <alignment horizontal="right" vertical="center" wrapText="1"/>
    </xf>
    <xf numFmtId="166" fontId="12" fillId="3" borderId="21" xfId="0" applyNumberFormat="1" applyFont="1" applyFill="1" applyBorder="1" applyAlignment="1">
      <alignment horizontal="right" vertical="center" wrapText="1"/>
    </xf>
    <xf numFmtId="166" fontId="10" fillId="4" borderId="12" xfId="0" applyNumberFormat="1" applyFont="1" applyFill="1" applyBorder="1" applyAlignment="1">
      <alignment horizontal="right" vertical="center" wrapText="1"/>
    </xf>
    <xf numFmtId="166" fontId="10" fillId="4" borderId="9" xfId="0" applyNumberFormat="1" applyFont="1" applyFill="1" applyBorder="1" applyAlignment="1">
      <alignment horizontal="right" vertical="center" wrapText="1"/>
    </xf>
    <xf numFmtId="165" fontId="10" fillId="4" borderId="9" xfId="0" applyNumberFormat="1" applyFont="1" applyFill="1" applyBorder="1" applyAlignment="1">
      <alignment horizontal="right" vertical="center" wrapText="1"/>
    </xf>
    <xf numFmtId="0" fontId="38" fillId="14" borderId="8" xfId="0" applyFont="1" applyFill="1" applyBorder="1" applyAlignment="1">
      <alignment vertical="center" wrapText="1"/>
    </xf>
    <xf numFmtId="165" fontId="10" fillId="14" borderId="21" xfId="0" applyNumberFormat="1" applyFont="1" applyFill="1" applyBorder="1" applyAlignment="1">
      <alignment horizontal="right" vertical="center" wrapText="1"/>
    </xf>
    <xf numFmtId="166" fontId="10" fillId="14" borderId="21" xfId="0" applyNumberFormat="1" applyFont="1" applyFill="1" applyBorder="1" applyAlignment="1">
      <alignment horizontal="right" vertical="center" wrapText="1"/>
    </xf>
    <xf numFmtId="0" fontId="10" fillId="8" borderId="27" xfId="0" applyFont="1" applyFill="1" applyBorder="1" applyAlignment="1">
      <alignment horizontal="right" vertical="center" wrapText="1"/>
    </xf>
    <xf numFmtId="166" fontId="10" fillId="8" borderId="9" xfId="0" applyNumberFormat="1" applyFont="1" applyFill="1" applyBorder="1" applyAlignment="1">
      <alignment horizontal="right" vertical="center" wrapText="1"/>
    </xf>
    <xf numFmtId="166" fontId="10" fillId="8" borderId="28" xfId="0" applyNumberFormat="1" applyFont="1" applyFill="1" applyBorder="1" applyAlignment="1">
      <alignment horizontal="right" vertical="center" wrapText="1"/>
    </xf>
    <xf numFmtId="0" fontId="10" fillId="8" borderId="29" xfId="0" applyFont="1" applyFill="1" applyBorder="1" applyAlignment="1">
      <alignment horizontal="right" vertical="center" wrapText="1"/>
    </xf>
    <xf numFmtId="166" fontId="10" fillId="8" borderId="10" xfId="0" applyNumberFormat="1" applyFont="1" applyFill="1" applyBorder="1" applyAlignment="1">
      <alignment horizontal="right" vertical="center" wrapText="1"/>
    </xf>
    <xf numFmtId="166" fontId="10" fillId="8" borderId="31" xfId="0" applyNumberFormat="1" applyFont="1" applyFill="1" applyBorder="1" applyAlignment="1">
      <alignment horizontal="right" vertical="center" wrapText="1"/>
    </xf>
    <xf numFmtId="0" fontId="9" fillId="13" borderId="8" xfId="0" applyFont="1" applyFill="1" applyBorder="1" applyAlignment="1">
      <alignment vertical="center" wrapText="1"/>
    </xf>
    <xf numFmtId="166" fontId="10" fillId="14" borderId="32" xfId="0" applyNumberFormat="1" applyFont="1" applyFill="1" applyBorder="1" applyAlignment="1">
      <alignment horizontal="right" vertical="center" wrapText="1"/>
    </xf>
    <xf numFmtId="166" fontId="10" fillId="14" borderId="30" xfId="0" applyNumberFormat="1" applyFont="1" applyFill="1" applyBorder="1" applyAlignment="1">
      <alignment horizontal="right" vertical="center" wrapText="1"/>
    </xf>
    <xf numFmtId="0" fontId="38" fillId="3" borderId="34" xfId="0" applyFont="1" applyFill="1" applyBorder="1" applyAlignment="1">
      <alignment vertical="center" wrapText="1"/>
    </xf>
    <xf numFmtId="166" fontId="12" fillId="3" borderId="35" xfId="0" applyNumberFormat="1" applyFont="1" applyFill="1" applyBorder="1" applyAlignment="1">
      <alignment horizontal="right" vertical="center" wrapText="1"/>
    </xf>
    <xf numFmtId="166" fontId="12" fillId="3" borderId="36" xfId="0" applyNumberFormat="1" applyFont="1" applyFill="1" applyBorder="1" applyAlignment="1">
      <alignment horizontal="right" vertical="center" wrapText="1"/>
    </xf>
    <xf numFmtId="0" fontId="13" fillId="8" borderId="9" xfId="0" applyFont="1" applyFill="1" applyBorder="1" applyAlignment="1">
      <alignment horizontal="right" vertical="center" wrapText="1"/>
    </xf>
    <xf numFmtId="166" fontId="13" fillId="8" borderId="9" xfId="0" applyNumberFormat="1" applyFont="1" applyFill="1" applyBorder="1" applyAlignment="1">
      <alignment horizontal="right" vertical="center" wrapText="1"/>
    </xf>
    <xf numFmtId="166" fontId="13" fillId="4" borderId="10" xfId="0" applyNumberFormat="1" applyFont="1" applyFill="1" applyBorder="1" applyAlignment="1">
      <alignment horizontal="right" vertical="center" wrapText="1"/>
    </xf>
    <xf numFmtId="0" fontId="25" fillId="4" borderId="9" xfId="0" applyFont="1" applyFill="1" applyBorder="1" applyAlignment="1">
      <alignment horizontal="right" vertical="center" wrapText="1"/>
    </xf>
    <xf numFmtId="166" fontId="13" fillId="4" borderId="9" xfId="0" applyNumberFormat="1" applyFont="1" applyFill="1" applyBorder="1" applyAlignment="1">
      <alignment horizontal="right" vertical="center" wrapText="1"/>
    </xf>
    <xf numFmtId="0" fontId="11" fillId="14" borderId="8" xfId="0" applyFont="1" applyFill="1" applyBorder="1" applyAlignment="1">
      <alignment vertical="center" wrapText="1"/>
    </xf>
    <xf numFmtId="166" fontId="13" fillId="14" borderId="21" xfId="0" applyNumberFormat="1" applyFont="1" applyFill="1" applyBorder="1" applyAlignment="1">
      <alignment horizontal="right" vertical="center" wrapText="1"/>
    </xf>
    <xf numFmtId="166" fontId="13" fillId="14" borderId="7" xfId="0" applyNumberFormat="1" applyFont="1" applyFill="1" applyBorder="1" applyAlignment="1">
      <alignment horizontal="right" vertical="center" wrapText="1"/>
    </xf>
    <xf numFmtId="166" fontId="13" fillId="7" borderId="21" xfId="0" applyNumberFormat="1" applyFont="1" applyFill="1" applyBorder="1" applyAlignment="1">
      <alignment horizontal="right" vertical="center" wrapText="1"/>
    </xf>
    <xf numFmtId="166" fontId="13" fillId="7" borderId="7" xfId="0" applyNumberFormat="1" applyFont="1" applyFill="1" applyBorder="1" applyAlignment="1">
      <alignment horizontal="right" vertical="center" wrapText="1"/>
    </xf>
    <xf numFmtId="0" fontId="37" fillId="14" borderId="8" xfId="0" applyFont="1" applyFill="1" applyBorder="1" applyAlignment="1">
      <alignment vertical="center" wrapText="1"/>
    </xf>
    <xf numFmtId="0" fontId="13" fillId="4" borderId="27" xfId="0" applyFont="1" applyFill="1" applyBorder="1" applyAlignment="1">
      <alignment horizontal="left" vertical="center" wrapText="1"/>
    </xf>
    <xf numFmtId="166" fontId="15" fillId="12" borderId="6" xfId="0" applyNumberFormat="1" applyFont="1" applyFill="1" applyBorder="1" applyAlignment="1">
      <alignment vertical="center"/>
    </xf>
    <xf numFmtId="166" fontId="39" fillId="5" borderId="10" xfId="0" applyNumberFormat="1" applyFont="1" applyFill="1" applyBorder="1" applyAlignment="1">
      <alignment horizontal="right" vertical="center" wrapText="1"/>
    </xf>
    <xf numFmtId="0" fontId="11" fillId="13" borderId="8" xfId="0" applyFont="1" applyFill="1" applyBorder="1" applyAlignment="1">
      <alignment vertical="center" wrapText="1"/>
    </xf>
    <xf numFmtId="0" fontId="41" fillId="5" borderId="10" xfId="0" applyFont="1" applyFill="1" applyBorder="1" applyAlignment="1">
      <alignment horizontal="right" vertical="center" wrapText="1"/>
    </xf>
    <xf numFmtId="166" fontId="24" fillId="5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0" fontId="46" fillId="6" borderId="6" xfId="0" applyFont="1" applyFill="1" applyBorder="1" applyAlignment="1">
      <alignment horizontal="left" vertical="center"/>
    </xf>
    <xf numFmtId="0" fontId="46" fillId="7" borderId="6" xfId="0" applyFont="1" applyFill="1" applyBorder="1" applyAlignment="1">
      <alignment horizontal="left" vertical="top"/>
    </xf>
    <xf numFmtId="0" fontId="46" fillId="11" borderId="6" xfId="0" applyFont="1" applyFill="1" applyBorder="1" applyAlignment="1">
      <alignment horizontal="left" vertical="top"/>
    </xf>
    <xf numFmtId="166" fontId="1" fillId="5" borderId="6" xfId="0" applyNumberFormat="1" applyFont="1" applyFill="1" applyBorder="1" applyAlignment="1">
      <alignment vertical="center"/>
    </xf>
    <xf numFmtId="166" fontId="1" fillId="5" borderId="6" xfId="0" applyNumberFormat="1" applyFont="1" applyFill="1" applyBorder="1" applyAlignment="1">
      <alignment vertical="top"/>
    </xf>
    <xf numFmtId="0" fontId="14" fillId="11" borderId="6" xfId="0" applyFont="1" applyFill="1" applyBorder="1" applyAlignment="1">
      <alignment horizontal="left" vertical="top"/>
    </xf>
    <xf numFmtId="164" fontId="1" fillId="20" borderId="6" xfId="0" applyNumberFormat="1" applyFont="1" applyFill="1" applyBorder="1" applyAlignment="1">
      <alignment vertical="top"/>
    </xf>
    <xf numFmtId="166" fontId="1" fillId="20" borderId="6" xfId="0" applyNumberFormat="1" applyFont="1" applyFill="1" applyBorder="1" applyAlignment="1">
      <alignment vertical="top"/>
    </xf>
    <xf numFmtId="164" fontId="1" fillId="5" borderId="6" xfId="0" applyNumberFormat="1" applyFont="1" applyFill="1" applyBorder="1" applyAlignment="1">
      <alignment vertical="top"/>
    </xf>
    <xf numFmtId="164" fontId="0" fillId="0" borderId="10" xfId="0" applyNumberFormat="1" applyBorder="1" applyAlignment="1">
      <alignment vertical="top" wrapText="1"/>
    </xf>
    <xf numFmtId="164" fontId="0" fillId="12" borderId="10" xfId="0" applyNumberFormat="1" applyFill="1" applyBorder="1" applyAlignment="1">
      <alignment vertical="top"/>
    </xf>
    <xf numFmtId="0" fontId="46" fillId="9" borderId="37" xfId="0" applyFont="1" applyFill="1" applyBorder="1" applyAlignment="1">
      <alignment horizontal="left" vertical="top" wrapText="1"/>
    </xf>
    <xf numFmtId="164" fontId="0" fillId="0" borderId="37" xfId="0" applyNumberFormat="1" applyBorder="1" applyAlignment="1">
      <alignment vertical="center" wrapText="1"/>
    </xf>
    <xf numFmtId="164" fontId="2" fillId="5" borderId="37" xfId="0" applyNumberFormat="1" applyFont="1" applyFill="1" applyBorder="1" applyAlignment="1">
      <alignment vertical="center"/>
    </xf>
    <xf numFmtId="166" fontId="1" fillId="5" borderId="37" xfId="0" applyNumberFormat="1" applyFont="1" applyFill="1" applyBorder="1" applyAlignment="1">
      <alignment vertical="center"/>
    </xf>
    <xf numFmtId="166" fontId="0" fillId="5" borderId="37" xfId="0" applyNumberFormat="1" applyFill="1" applyBorder="1" applyAlignment="1">
      <alignment vertical="center" wrapText="1"/>
    </xf>
    <xf numFmtId="164" fontId="0" fillId="12" borderId="37" xfId="0" applyNumberFormat="1" applyFill="1" applyBorder="1" applyAlignment="1">
      <alignment vertical="center"/>
    </xf>
    <xf numFmtId="166" fontId="0" fillId="16" borderId="37" xfId="0" applyNumberFormat="1" applyFill="1" applyBorder="1" applyAlignment="1">
      <alignment vertical="center"/>
    </xf>
    <xf numFmtId="166" fontId="0" fillId="5" borderId="37" xfId="0" applyNumberFormat="1" applyFill="1" applyBorder="1" applyAlignment="1">
      <alignment vertical="center"/>
    </xf>
    <xf numFmtId="166" fontId="15" fillId="5" borderId="14" xfId="0" applyNumberFormat="1" applyFont="1" applyFill="1" applyBorder="1" applyAlignment="1">
      <alignment vertical="center"/>
    </xf>
    <xf numFmtId="166" fontId="15" fillId="5" borderId="16" xfId="0" applyNumberFormat="1" applyFont="1" applyFill="1" applyBorder="1" applyAlignment="1">
      <alignment vertical="center"/>
    </xf>
    <xf numFmtId="0" fontId="45" fillId="6" borderId="38" xfId="0" applyFont="1" applyFill="1" applyBorder="1" applyAlignment="1">
      <alignment vertical="center"/>
    </xf>
    <xf numFmtId="0" fontId="15" fillId="6" borderId="38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166" fontId="15" fillId="6" borderId="38" xfId="0" applyNumberFormat="1" applyFont="1" applyFill="1" applyBorder="1" applyAlignment="1">
      <alignment vertical="center"/>
    </xf>
    <xf numFmtId="166" fontId="15" fillId="6" borderId="25" xfId="0" applyNumberFormat="1" applyFont="1" applyFill="1" applyBorder="1" applyAlignment="1">
      <alignment vertical="center"/>
    </xf>
    <xf numFmtId="0" fontId="46" fillId="11" borderId="10" xfId="0" applyFont="1" applyFill="1" applyBorder="1" applyAlignment="1">
      <alignment horizontal="left" vertical="top"/>
    </xf>
    <xf numFmtId="164" fontId="22" fillId="12" borderId="10" xfId="0" applyNumberFormat="1" applyFont="1" applyFill="1" applyBorder="1" applyAlignment="1">
      <alignment vertical="top" wrapText="1"/>
    </xf>
    <xf numFmtId="164" fontId="27" fillId="12" borderId="10" xfId="0" applyNumberFormat="1" applyFont="1" applyFill="1" applyBorder="1" applyAlignment="1">
      <alignment vertical="top"/>
    </xf>
    <xf numFmtId="164" fontId="23" fillId="12" borderId="10" xfId="0" applyNumberFormat="1" applyFont="1" applyFill="1" applyBorder="1" applyAlignment="1">
      <alignment vertical="top"/>
    </xf>
    <xf numFmtId="164" fontId="15" fillId="12" borderId="10" xfId="0" applyNumberFormat="1" applyFont="1" applyFill="1" applyBorder="1" applyAlignment="1">
      <alignment vertical="center"/>
    </xf>
    <xf numFmtId="0" fontId="46" fillId="7" borderId="37" xfId="0" applyFont="1" applyFill="1" applyBorder="1" applyAlignment="1">
      <alignment horizontal="left" vertical="top"/>
    </xf>
    <xf numFmtId="164" fontId="0" fillId="0" borderId="37" xfId="0" applyNumberFormat="1" applyBorder="1" applyAlignment="1">
      <alignment vertical="top" wrapText="1"/>
    </xf>
    <xf numFmtId="164" fontId="0" fillId="10" borderId="37" xfId="0" applyNumberFormat="1" applyFill="1" applyBorder="1" applyAlignment="1">
      <alignment vertical="top" wrapText="1"/>
    </xf>
    <xf numFmtId="164" fontId="2" fillId="5" borderId="37" xfId="0" applyNumberFormat="1" applyFont="1" applyFill="1" applyBorder="1" applyAlignment="1">
      <alignment vertical="top"/>
    </xf>
    <xf numFmtId="166" fontId="1" fillId="5" borderId="37" xfId="0" applyNumberFormat="1" applyFont="1" applyFill="1" applyBorder="1" applyAlignment="1">
      <alignment vertical="top"/>
    </xf>
    <xf numFmtId="166" fontId="0" fillId="5" borderId="37" xfId="0" applyNumberFormat="1" applyFill="1" applyBorder="1" applyAlignment="1">
      <alignment vertical="top" wrapText="1"/>
    </xf>
    <xf numFmtId="164" fontId="0" fillId="12" borderId="37" xfId="0" applyNumberFormat="1" applyFill="1" applyBorder="1" applyAlignment="1">
      <alignment vertical="top"/>
    </xf>
    <xf numFmtId="166" fontId="0" fillId="5" borderId="37" xfId="0" applyNumberFormat="1" applyFill="1" applyBorder="1" applyAlignment="1">
      <alignment vertical="top"/>
    </xf>
    <xf numFmtId="0" fontId="14" fillId="7" borderId="38" xfId="0" applyFont="1" applyFill="1" applyBorder="1" applyAlignment="1">
      <alignment vertical="top"/>
    </xf>
    <xf numFmtId="0" fontId="5" fillId="7" borderId="38" xfId="0" applyFont="1" applyFill="1" applyBorder="1" applyAlignment="1">
      <alignment vertical="top"/>
    </xf>
    <xf numFmtId="0" fontId="2" fillId="7" borderId="38" xfId="0" applyFont="1" applyFill="1" applyBorder="1" applyAlignment="1">
      <alignment vertical="top"/>
    </xf>
    <xf numFmtId="166" fontId="15" fillId="7" borderId="38" xfId="0" applyNumberFormat="1" applyFont="1" applyFill="1" applyBorder="1" applyAlignment="1">
      <alignment vertical="top"/>
    </xf>
    <xf numFmtId="166" fontId="15" fillId="7" borderId="25" xfId="0" applyNumberFormat="1" applyFont="1" applyFill="1" applyBorder="1" applyAlignment="1">
      <alignment vertical="top"/>
    </xf>
    <xf numFmtId="0" fontId="12" fillId="5" borderId="10" xfId="0" applyFont="1" applyFill="1" applyBorder="1" applyAlignment="1">
      <alignment horizontal="right" vertical="center" wrapText="1"/>
    </xf>
    <xf numFmtId="166" fontId="13" fillId="5" borderId="10" xfId="0" applyNumberFormat="1" applyFont="1" applyFill="1" applyBorder="1" applyAlignment="1">
      <alignment horizontal="right" vertical="center" wrapText="1"/>
    </xf>
    <xf numFmtId="0" fontId="38" fillId="7" borderId="30" xfId="0" applyFont="1" applyFill="1" applyBorder="1" applyAlignment="1">
      <alignment vertical="center" wrapText="1"/>
    </xf>
    <xf numFmtId="166" fontId="10" fillId="13" borderId="21" xfId="0" applyNumberFormat="1" applyFont="1" applyFill="1" applyBorder="1" applyAlignment="1">
      <alignment horizontal="right" vertical="center" wrapText="1"/>
    </xf>
    <xf numFmtId="166" fontId="10" fillId="13" borderId="7" xfId="0" applyNumberFormat="1" applyFont="1" applyFill="1" applyBorder="1" applyAlignment="1">
      <alignment horizontal="right" vertical="center" wrapText="1"/>
    </xf>
    <xf numFmtId="0" fontId="38" fillId="3" borderId="8" xfId="0" applyFont="1" applyFill="1" applyBorder="1" applyAlignment="1">
      <alignment vertical="center" wrapText="1"/>
    </xf>
    <xf numFmtId="165" fontId="13" fillId="13" borderId="21" xfId="0" applyNumberFormat="1" applyFont="1" applyFill="1" applyBorder="1" applyAlignment="1">
      <alignment horizontal="right" vertical="center" wrapText="1"/>
    </xf>
    <xf numFmtId="166" fontId="13" fillId="13" borderId="21" xfId="0" applyNumberFormat="1" applyFont="1" applyFill="1" applyBorder="1" applyAlignment="1">
      <alignment horizontal="right" vertical="center" wrapText="1"/>
    </xf>
    <xf numFmtId="165" fontId="13" fillId="8" borderId="10" xfId="0" applyNumberFormat="1" applyFont="1" applyFill="1" applyBorder="1" applyAlignment="1">
      <alignment horizontal="right" vertical="center" wrapText="1"/>
    </xf>
    <xf numFmtId="166" fontId="13" fillId="8" borderId="10" xfId="0" applyNumberFormat="1" applyFont="1" applyFill="1" applyBorder="1" applyAlignment="1">
      <alignment horizontal="right" vertical="center" wrapText="1"/>
    </xf>
    <xf numFmtId="165" fontId="13" fillId="8" borderId="9" xfId="0" applyNumberFormat="1" applyFont="1" applyFill="1" applyBorder="1" applyAlignment="1">
      <alignment horizontal="right" vertical="center" wrapText="1"/>
    </xf>
    <xf numFmtId="0" fontId="38" fillId="7" borderId="34" xfId="0" applyFont="1" applyFill="1" applyBorder="1" applyAlignment="1">
      <alignment vertical="center" wrapText="1"/>
    </xf>
    <xf numFmtId="165" fontId="13" fillId="7" borderId="21" xfId="0" applyNumberFormat="1" applyFont="1" applyFill="1" applyBorder="1" applyAlignment="1">
      <alignment horizontal="right" vertical="center" wrapText="1"/>
    </xf>
    <xf numFmtId="0" fontId="47" fillId="4" borderId="0" xfId="0" applyFont="1" applyFill="1" applyBorder="1" applyAlignment="1">
      <alignment horizontal="left" vertical="center" wrapText="1"/>
    </xf>
    <xf numFmtId="165" fontId="13" fillId="4" borderId="18" xfId="0" applyNumberFormat="1" applyFont="1" applyFill="1" applyBorder="1" applyAlignment="1">
      <alignment horizontal="right" vertical="center" wrapText="1"/>
    </xf>
    <xf numFmtId="165" fontId="41" fillId="13" borderId="21" xfId="0" applyNumberFormat="1" applyFont="1" applyFill="1" applyBorder="1" applyAlignment="1">
      <alignment horizontal="right" vertical="center" wrapText="1"/>
    </xf>
    <xf numFmtId="166" fontId="41" fillId="13" borderId="7" xfId="0" applyNumberFormat="1" applyFont="1" applyFill="1" applyBorder="1" applyAlignment="1">
      <alignment horizontal="right" vertical="center" wrapText="1"/>
    </xf>
    <xf numFmtId="0" fontId="42" fillId="4" borderId="0" xfId="0" applyFont="1" applyFill="1" applyBorder="1" applyAlignment="1">
      <alignment horizontal="right" wrapText="1"/>
    </xf>
    <xf numFmtId="166" fontId="24" fillId="4" borderId="11" xfId="0" applyNumberFormat="1" applyFont="1" applyFill="1" applyBorder="1" applyAlignment="1">
      <alignment horizontal="right" vertical="center" wrapText="1"/>
    </xf>
    <xf numFmtId="166" fontId="24" fillId="4" borderId="6" xfId="0" applyNumberFormat="1" applyFont="1" applyFill="1" applyBorder="1" applyAlignment="1">
      <alignment horizontal="right" vertical="center" wrapText="1"/>
    </xf>
    <xf numFmtId="166" fontId="12" fillId="7" borderId="30" xfId="0" applyNumberFormat="1" applyFont="1" applyFill="1" applyBorder="1" applyAlignment="1">
      <alignment horizontal="right" vertical="center" wrapText="1"/>
    </xf>
    <xf numFmtId="0" fontId="37" fillId="13" borderId="8" xfId="0" applyFont="1" applyFill="1" applyBorder="1" applyAlignment="1">
      <alignment vertical="center" wrapText="1"/>
    </xf>
    <xf numFmtId="0" fontId="37" fillId="7" borderId="8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right" vertical="center" wrapText="1"/>
    </xf>
    <xf numFmtId="166" fontId="13" fillId="13" borderId="7" xfId="0" applyNumberFormat="1" applyFont="1" applyFill="1" applyBorder="1" applyAlignment="1">
      <alignment horizontal="right" vertical="center" wrapText="1"/>
    </xf>
    <xf numFmtId="0" fontId="33" fillId="0" borderId="0" xfId="0" applyFont="1"/>
    <xf numFmtId="0" fontId="29" fillId="21" borderId="0" xfId="0" applyFont="1" applyFill="1" applyAlignment="1">
      <alignment horizontal="center" vertical="center"/>
    </xf>
    <xf numFmtId="166" fontId="12" fillId="3" borderId="7" xfId="0" applyNumberFormat="1" applyFont="1" applyFill="1" applyBorder="1" applyAlignment="1">
      <alignment horizontal="right" vertical="center" wrapText="1"/>
    </xf>
    <xf numFmtId="166" fontId="13" fillId="4" borderId="31" xfId="0" applyNumberFormat="1" applyFont="1" applyFill="1" applyBorder="1" applyAlignment="1">
      <alignment horizontal="right" vertical="center" wrapText="1"/>
    </xf>
    <xf numFmtId="166" fontId="13" fillId="4" borderId="28" xfId="0" applyNumberFormat="1" applyFont="1" applyFill="1" applyBorder="1" applyAlignment="1">
      <alignment horizontal="right" vertical="center" wrapText="1"/>
    </xf>
    <xf numFmtId="166" fontId="13" fillId="14" borderId="33" xfId="0" applyNumberFormat="1" applyFont="1" applyFill="1" applyBorder="1" applyAlignment="1">
      <alignment horizontal="right" vertical="center" wrapText="1"/>
    </xf>
    <xf numFmtId="0" fontId="26" fillId="4" borderId="37" xfId="0" applyFont="1" applyFill="1" applyBorder="1" applyAlignment="1">
      <alignment horizontal="right" wrapText="1"/>
    </xf>
    <xf numFmtId="0" fontId="40" fillId="11" borderId="13" xfId="0" applyFont="1" applyFill="1" applyBorder="1" applyAlignment="1">
      <alignment horizontal="center" vertical="center" wrapText="1"/>
    </xf>
    <xf numFmtId="0" fontId="40" fillId="11" borderId="15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6" borderId="13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top"/>
    </xf>
    <xf numFmtId="165" fontId="0" fillId="0" borderId="0" xfId="0" applyNumberFormat="1" applyAlignment="1">
      <alignment horizontal="center"/>
    </xf>
    <xf numFmtId="0" fontId="36" fillId="0" borderId="0" xfId="0" applyFont="1" applyFill="1" applyAlignment="1">
      <alignment vertical="center"/>
    </xf>
    <xf numFmtId="166" fontId="35" fillId="0" borderId="0" xfId="0" applyNumberFormat="1" applyFont="1" applyFill="1" applyAlignment="1">
      <alignment horizontal="left"/>
    </xf>
    <xf numFmtId="0" fontId="0" fillId="0" borderId="0" xfId="0" applyFill="1"/>
    <xf numFmtId="0" fontId="34" fillId="0" borderId="0" xfId="0" applyFont="1" applyFill="1"/>
    <xf numFmtId="44" fontId="34" fillId="0" borderId="0" xfId="0" applyNumberFormat="1" applyFont="1" applyFill="1"/>
    <xf numFmtId="166" fontId="34" fillId="0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2C9"/>
      <color rgb="FFCCCCFF"/>
      <color rgb="FF9933FF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lińska Magdalena" id="{596D7FD4-CD50-4ADB-9A1D-5D007DB7BFD5}" userId="Molińska Magdalena" providerId="None"/>
  <person displayName="Molińska Magdalena" id="{DB366AB9-6FEA-48DC-9DFF-500166816412}" userId="S::mkopec@mos.gov.pl::102853bb-859a-4c46-bc66-851444bd2dc9" providerId="AD"/>
  <person displayName="PIĄTKOWSKA Magdalena" id="{B219A24D-C0CF-40AD-A48D-8536541934C4}" userId="S::mpiatko1@mos.gov.pl::75262aa7-198a-4a26-9802-6c85b6e08c3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8" dT="2022-02-28T23:02:02.35" personId="{596D7FD4-CD50-4ADB-9A1D-5D007DB7BFD5}" id="{51D70B8B-BCB9-413B-853D-9935A214C6F5}">
    <text>Uwaga: w przypadku zmiany poz.M15 nastąpi zmiana tej wartości</text>
  </threadedComment>
  <threadedComment ref="H10" dT="2022-02-28T22:45:11.89" personId="{596D7FD4-CD50-4ADB-9A1D-5D007DB7BFD5}" id="{E20F1866-1021-4355-92B2-D2426B87F518}">
    <text>Prośba do DGK o weryfikację poprawności tych danych (wysokosci kwot w wierszu 15 i 16 tabeli) zgodnie z założeniami przyjętymi przez DGK: "dochody z tytułu podziemnego bezzbiornikowego magazynowania wodoru powinny pojawić się w 2027 r., a z podziemnego składowania dwutlenku węgla w roku 2029." w tym potwierdzenie, że dochód z tytułu opłat za CCS w skali 0-10 wynosi 129,108 mln zł, z z tytułu magazynownia wodoru 3,275 mln zł.</text>
  </threadedComment>
  <threadedComment ref="A16" dT="2022-01-31T08:45:00.04" personId="{B219A24D-C0CF-40AD-A48D-8536541934C4}" id="{427AB778-0510-45AA-AB7A-217D69A8F319}">
    <text>(9 -limit wynagrodzeń MKiŚ w cz. 41 Środowisko- docleowo cz. Geologia; 3 - dodatkowe środki tj.rezerwa celowa poz.19)</text>
  </threadedComment>
  <threadedComment ref="B21" dT="2022-01-21T13:49:27.57" personId="{DB366AB9-6FEA-48DC-9DFF-500166816412}" id="{F026D988-F3D7-4E35-8BE4-AA045FA1109E}">
    <text>1) W zwiażku z uwagą MF odjęto koszt wojewódzkich planów zagospodarowania przestrzennego (budzet województwa) w wysokosći w roku 0 - 254 tys zł (0,254 mln zł) i w latach 1-10 - 127 tys zł (0,127 mln zł):
0,356-0,254=0,102 mln zł (rocznie lata 0-2)
0,178-0,127=0,051 mln zł ( rocznie 51 tys zł) (3-10 rok)
2) W związku z decyzją o przesunieciu środków z dotacji udzielanych na realizację zadań starostom powiatowym na rzecz urzędów marszlkowskich w celu zapewnienia finansowania od 2023 roku 16 etatów (z 32 dla UM) JST poniesnie koszt z tym związny począwszy w roku 2023 (tabela: rok 1) wyniesie: 1,64 mln zł, a w latach następnych (od 2024 roku, tabela: lata 2-10) 1,57 mln zł/rok.
Wyliczenia szczegółowe:
Roczne koszty 32 etatów UM:
3,28 mln zł – rok 0
2901350,4+251812,704 (DWR)= 3 153 163,104=3,15 mln zł (1-10 lat)
Roczny koszt 16 etatów UM  z podziałem na harmonogram i  źródła ich finansowania w poszczególnych latach:
3282502,4/2 = 1641251,2=1,64 mln zł – rok 0 (bez DWR) 2022 rok – rezerwa celowa budżetu państwa;
2023 rok – dotacje przeniesione ze starostw na marszałków)
2901305,4/2+251812/2=1 450 675,2+ 125 906,352= 1 576 581,552=1,57 mln zł– lata następne (od 1 roku do 10+rok 0+DWRy) 
Od 2023 – rezerwa celowa budżetu państwa; 
Od 2024 – dotacje przeniesione ze starostw na marszałków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D1CD-4F59-47BA-81DF-AAE452461809}">
  <dimension ref="A1:L40"/>
  <sheetViews>
    <sheetView workbookViewId="0">
      <pane ySplit="1" topLeftCell="A2" activePane="bottomLeft" state="frozen"/>
      <selection pane="bottomLeft" activeCell="F40" sqref="F40"/>
    </sheetView>
  </sheetViews>
  <sheetFormatPr defaultRowHeight="14.5" x14ac:dyDescent="0.35"/>
  <cols>
    <col min="1" max="1" width="11.54296875" customWidth="1"/>
    <col min="2" max="2" width="15.26953125" customWidth="1"/>
    <col min="3" max="3" width="6.36328125" customWidth="1"/>
    <col min="4" max="4" width="11" customWidth="1"/>
    <col min="5" max="6" width="13.90625" customWidth="1"/>
    <col min="7" max="7" width="10.453125" customWidth="1"/>
    <col min="8" max="8" width="10.36328125" customWidth="1"/>
    <col min="9" max="9" width="9.54296875" customWidth="1"/>
    <col min="10" max="10" width="12.81640625" bestFit="1" customWidth="1"/>
    <col min="11" max="11" width="10.81640625" customWidth="1"/>
    <col min="12" max="12" width="13.81640625" customWidth="1"/>
  </cols>
  <sheetData>
    <row r="1" spans="1:12" x14ac:dyDescent="0.35">
      <c r="A1" s="230" t="s">
        <v>46</v>
      </c>
      <c r="B1" s="230"/>
      <c r="C1" s="1"/>
      <c r="D1" s="1"/>
      <c r="E1" s="2"/>
      <c r="F1" s="2"/>
      <c r="G1" s="7">
        <f>16.24%+2.45%+1.5%</f>
        <v>0.20189999999999997</v>
      </c>
      <c r="H1" s="9">
        <v>8.5000000000000006E-2</v>
      </c>
      <c r="I1" s="9">
        <f>G1</f>
        <v>0.20189999999999997</v>
      </c>
      <c r="J1" s="8">
        <v>1662.97</v>
      </c>
      <c r="K1" s="10">
        <v>10000</v>
      </c>
      <c r="L1" s="2"/>
    </row>
    <row r="2" spans="1:12" ht="60.5" thickBot="1" x14ac:dyDescent="0.4">
      <c r="A2" s="20"/>
      <c r="B2" s="12"/>
      <c r="C2" s="13" t="s">
        <v>7</v>
      </c>
      <c r="D2" s="13" t="s">
        <v>8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4" t="s">
        <v>38</v>
      </c>
    </row>
    <row r="3" spans="1:12" x14ac:dyDescent="0.35">
      <c r="A3" s="231" t="s">
        <v>19</v>
      </c>
      <c r="B3" s="159" t="s">
        <v>88</v>
      </c>
      <c r="C3" s="160">
        <v>2</v>
      </c>
      <c r="D3" s="160">
        <v>8000</v>
      </c>
      <c r="E3" s="161">
        <f>D3*C3*4</f>
        <v>64000</v>
      </c>
      <c r="F3" s="162">
        <f>ROUND(E3/1000000,3)</f>
        <v>6.4000000000000001E-2</v>
      </c>
      <c r="G3" s="163">
        <f>ROUND($G$1*F3,3)</f>
        <v>1.2999999999999999E-2</v>
      </c>
      <c r="H3" s="164"/>
      <c r="I3" s="164"/>
      <c r="J3" s="165"/>
      <c r="K3" s="166">
        <f>ROUND((C3*$K$1)/1000000,3)</f>
        <v>0.02</v>
      </c>
      <c r="L3" s="167">
        <f>ROUND(F3+G3+H3+I3+J3+K3,3)</f>
        <v>9.7000000000000003E-2</v>
      </c>
    </row>
    <row r="4" spans="1:12" x14ac:dyDescent="0.35">
      <c r="A4" s="232"/>
      <c r="B4" s="148" t="s">
        <v>86</v>
      </c>
      <c r="C4" s="94">
        <f>C3</f>
        <v>2</v>
      </c>
      <c r="D4" s="94">
        <f>D3</f>
        <v>8000</v>
      </c>
      <c r="E4" s="95">
        <f>C4*D4*12</f>
        <v>192000</v>
      </c>
      <c r="F4" s="151">
        <f t="shared" ref="F4:F5" si="0">ROUND(E4/1000000,3)</f>
        <v>0.192</v>
      </c>
      <c r="G4" s="97">
        <f t="shared" ref="G4:G5" si="1">ROUND($G$1*F4,3)</f>
        <v>3.9E-2</v>
      </c>
      <c r="H4" s="98">
        <f>ROUND($H$1*F4,3)</f>
        <v>1.6E-2</v>
      </c>
      <c r="I4" s="99">
        <f>ROUND($I$1*H4,3)</f>
        <v>3.0000000000000001E-3</v>
      </c>
      <c r="J4" s="100">
        <f>ROUND((C4*$J$1/1000000),3)</f>
        <v>3.0000000000000001E-3</v>
      </c>
      <c r="K4" s="39"/>
      <c r="L4" s="168">
        <f>ROUND(F4+G4+H4+I4+J4+K4,3)</f>
        <v>0.253</v>
      </c>
    </row>
    <row r="5" spans="1:12" x14ac:dyDescent="0.35">
      <c r="A5" s="232"/>
      <c r="B5" s="148" t="s">
        <v>87</v>
      </c>
      <c r="C5" s="94">
        <f>C4</f>
        <v>2</v>
      </c>
      <c r="D5" s="94">
        <f>D4</f>
        <v>8000</v>
      </c>
      <c r="E5" s="95">
        <f>C5*D5*12</f>
        <v>192000</v>
      </c>
      <c r="F5" s="151">
        <f t="shared" si="0"/>
        <v>0.192</v>
      </c>
      <c r="G5" s="97">
        <f t="shared" si="1"/>
        <v>3.9E-2</v>
      </c>
      <c r="H5" s="98">
        <f>ROUND($H$1*F5,3)</f>
        <v>1.6E-2</v>
      </c>
      <c r="I5" s="99">
        <f>$I$1*H5</f>
        <v>3.2303999999999996E-3</v>
      </c>
      <c r="J5" s="100">
        <f>ROUND((C5*$J$1/1000000),3)</f>
        <v>3.0000000000000001E-3</v>
      </c>
      <c r="K5" s="39"/>
      <c r="L5" s="168">
        <f>ROUND(F5+G5+H5+I5+J5+K5,3)</f>
        <v>0.253</v>
      </c>
    </row>
    <row r="6" spans="1:12" ht="15" thickBot="1" x14ac:dyDescent="0.4">
      <c r="A6" s="233"/>
      <c r="B6" s="169" t="s">
        <v>37</v>
      </c>
      <c r="C6" s="170"/>
      <c r="D6" s="170"/>
      <c r="E6" s="171"/>
      <c r="F6" s="172">
        <f>F3+F4+8*F5</f>
        <v>1.792</v>
      </c>
      <c r="G6" s="172">
        <f t="shared" ref="G6:K6" si="2">G3+G4+8*G5</f>
        <v>0.36399999999999999</v>
      </c>
      <c r="H6" s="172">
        <f t="shared" si="2"/>
        <v>0.14400000000000002</v>
      </c>
      <c r="I6" s="172">
        <f t="shared" si="2"/>
        <v>2.8843199999999996E-2</v>
      </c>
      <c r="J6" s="172">
        <f t="shared" si="2"/>
        <v>2.7E-2</v>
      </c>
      <c r="K6" s="172">
        <f t="shared" si="2"/>
        <v>0.02</v>
      </c>
      <c r="L6" s="173">
        <f>L3+L4+8*L5</f>
        <v>2.3740000000000001</v>
      </c>
    </row>
    <row r="7" spans="1:12" ht="15" thickBot="1" x14ac:dyDescent="0.4">
      <c r="A7" s="235" t="s">
        <v>17</v>
      </c>
      <c r="B7" s="179" t="s">
        <v>88</v>
      </c>
      <c r="C7" s="180">
        <v>12</v>
      </c>
      <c r="D7" s="181">
        <v>8000</v>
      </c>
      <c r="E7" s="182">
        <f>C7*D7*4</f>
        <v>384000</v>
      </c>
      <c r="F7" s="183">
        <f>ROUND(E7/1000000,3)</f>
        <v>0.38400000000000001</v>
      </c>
      <c r="G7" s="184">
        <f>ROUND($G$1*F7,3)</f>
        <v>7.8E-2</v>
      </c>
      <c r="H7" s="185"/>
      <c r="I7" s="185"/>
      <c r="J7" s="185"/>
      <c r="K7" s="186">
        <f>ROUND((C7*$K$1)/1000000,3)</f>
        <v>0.12</v>
      </c>
      <c r="L7" s="167">
        <f>ROUND(F7+G7+H7+I7+J7+K7,3)</f>
        <v>0.58199999999999996</v>
      </c>
    </row>
    <row r="8" spans="1:12" ht="15" thickBot="1" x14ac:dyDescent="0.4">
      <c r="A8" s="236"/>
      <c r="B8" s="149" t="s">
        <v>84</v>
      </c>
      <c r="C8" s="94">
        <f>C7</f>
        <v>12</v>
      </c>
      <c r="D8" s="94">
        <f>D7</f>
        <v>8000</v>
      </c>
      <c r="E8" s="95">
        <f>C8*D8*12</f>
        <v>1152000</v>
      </c>
      <c r="F8" s="152">
        <f>ROUND(E8/1000000,3)</f>
        <v>1.1519999999999999</v>
      </c>
      <c r="G8" s="101">
        <f t="shared" ref="G8:G9" si="3">ROUND($G$1*F8,3)</f>
        <v>0.23300000000000001</v>
      </c>
      <c r="H8" s="5"/>
      <c r="I8" s="5"/>
      <c r="J8" s="99">
        <f>ROUND((C8*$J$1)/1000000,3)</f>
        <v>0.02</v>
      </c>
      <c r="K8" s="5"/>
      <c r="L8" s="167">
        <f>ROUND(F8+G8+H8+I8+J8+K8,3)</f>
        <v>1.405</v>
      </c>
    </row>
    <row r="9" spans="1:12" x14ac:dyDescent="0.35">
      <c r="A9" s="236"/>
      <c r="B9" s="149" t="s">
        <v>85</v>
      </c>
      <c r="C9" s="94">
        <f>C8</f>
        <v>12</v>
      </c>
      <c r="D9" s="94">
        <f>D8</f>
        <v>8000</v>
      </c>
      <c r="E9" s="95">
        <f>C9*D9*12</f>
        <v>1152000</v>
      </c>
      <c r="F9" s="152">
        <f>ROUND(E9/1000000,3)</f>
        <v>1.1519999999999999</v>
      </c>
      <c r="G9" s="101">
        <f t="shared" si="3"/>
        <v>0.23300000000000001</v>
      </c>
      <c r="H9" s="98">
        <f>ROUND($H$1*F9,3)</f>
        <v>9.8000000000000004E-2</v>
      </c>
      <c r="I9" s="99">
        <f>ROUND($I$1*H9,3)</f>
        <v>0.02</v>
      </c>
      <c r="J9" s="99">
        <f>ROUND((C9*$J$1)/1000000,3)</f>
        <v>0.02</v>
      </c>
      <c r="K9" s="5"/>
      <c r="L9" s="167">
        <f>ROUND(F9+G9+H9+I9+J9+K9,3)</f>
        <v>1.5229999999999999</v>
      </c>
    </row>
    <row r="10" spans="1:12" ht="15" thickBot="1" x14ac:dyDescent="0.4">
      <c r="A10" s="237"/>
      <c r="B10" s="187" t="s">
        <v>37</v>
      </c>
      <c r="C10" s="188"/>
      <c r="D10" s="188"/>
      <c r="E10" s="189"/>
      <c r="F10" s="190">
        <f>F7+F8+8*F9</f>
        <v>10.751999999999999</v>
      </c>
      <c r="G10" s="190">
        <f t="shared" ref="G10:K10" si="4">G7+G8+8*G9</f>
        <v>2.1750000000000003</v>
      </c>
      <c r="H10" s="190">
        <f t="shared" si="4"/>
        <v>0.78400000000000003</v>
      </c>
      <c r="I10" s="190">
        <f t="shared" si="4"/>
        <v>0.16</v>
      </c>
      <c r="J10" s="190">
        <f t="shared" si="4"/>
        <v>0.18</v>
      </c>
      <c r="K10" s="190">
        <f t="shared" si="4"/>
        <v>0.12</v>
      </c>
      <c r="L10" s="191">
        <f>L7+L8+8*L9</f>
        <v>14.170999999999999</v>
      </c>
    </row>
    <row r="11" spans="1:12" x14ac:dyDescent="0.35">
      <c r="A11" s="234" t="s">
        <v>18</v>
      </c>
      <c r="B11" s="174" t="s">
        <v>89</v>
      </c>
      <c r="C11" s="157">
        <v>32</v>
      </c>
      <c r="D11" s="175"/>
      <c r="E11" s="176"/>
      <c r="F11" s="177"/>
      <c r="G11" s="175"/>
      <c r="H11" s="158"/>
      <c r="I11" s="158"/>
      <c r="J11" s="158"/>
      <c r="K11" s="158"/>
      <c r="L11" s="178">
        <f t="shared" ref="L11" si="5">E11+G11+H11+I11+J11+K11</f>
        <v>0</v>
      </c>
    </row>
    <row r="12" spans="1:12" x14ac:dyDescent="0.35">
      <c r="A12" s="234"/>
      <c r="B12" s="150" t="s">
        <v>84</v>
      </c>
      <c r="C12" s="94">
        <f>C11</f>
        <v>32</v>
      </c>
      <c r="D12" s="3">
        <v>6500</v>
      </c>
      <c r="E12" s="95">
        <f>D12*C12*12</f>
        <v>2496000</v>
      </c>
      <c r="F12" s="98">
        <f>ROUND(E12/1000000,3)</f>
        <v>2.496</v>
      </c>
      <c r="G12" s="101">
        <f>ROUND($G$1*F12,3)</f>
        <v>0.504</v>
      </c>
      <c r="H12" s="5"/>
      <c r="I12" s="5">
        <f>I1*H12</f>
        <v>0</v>
      </c>
      <c r="J12" s="99">
        <f>ROUND((C12*$J$1)/1000000,3)</f>
        <v>5.2999999999999999E-2</v>
      </c>
      <c r="K12" s="99">
        <f>ROUND((K1*C12)/1000000,3)</f>
        <v>0.32</v>
      </c>
      <c r="L12" s="96">
        <f>ROUND(F12+G12+H12+I12+J12+K12,3)</f>
        <v>3.3730000000000002</v>
      </c>
    </row>
    <row r="13" spans="1:12" x14ac:dyDescent="0.35">
      <c r="A13" s="234"/>
      <c r="B13" s="150" t="s">
        <v>85</v>
      </c>
      <c r="C13" s="94">
        <f>C12</f>
        <v>32</v>
      </c>
      <c r="D13" s="94">
        <f>D12</f>
        <v>6500</v>
      </c>
      <c r="E13" s="95">
        <f>D13*C13*12</f>
        <v>2496000</v>
      </c>
      <c r="F13" s="98">
        <f>ROUND(E13/1000000,3)</f>
        <v>2.496</v>
      </c>
      <c r="G13" s="101">
        <f>ROUND($G$1*F13,3)</f>
        <v>0.504</v>
      </c>
      <c r="H13" s="98">
        <f>ROUND($H$1*F13,3)</f>
        <v>0.21199999999999999</v>
      </c>
      <c r="I13" s="99">
        <f>ROUND($I$1*H13,3)</f>
        <v>4.2999999999999997E-2</v>
      </c>
      <c r="J13" s="99">
        <f>ROUND((C13*$J$1)/1000000,3)</f>
        <v>5.2999999999999999E-2</v>
      </c>
      <c r="K13" s="15"/>
      <c r="L13" s="96">
        <f>F13+G13+H13+I13+J13+K13</f>
        <v>3.3080000000000003</v>
      </c>
    </row>
    <row r="14" spans="1:12" x14ac:dyDescent="0.35">
      <c r="A14" s="11"/>
      <c r="B14" s="153" t="s">
        <v>37</v>
      </c>
      <c r="C14" s="44"/>
      <c r="D14" s="44"/>
      <c r="E14" s="45"/>
      <c r="F14" s="38">
        <f>F11+F12+8*F13</f>
        <v>22.463999999999999</v>
      </c>
      <c r="G14" s="38">
        <f t="shared" ref="G14:K14" si="6">G11+G12+8*G13</f>
        <v>4.5359999999999996</v>
      </c>
      <c r="H14" s="38">
        <f t="shared" si="6"/>
        <v>1.696</v>
      </c>
      <c r="I14" s="38">
        <f t="shared" si="6"/>
        <v>0.34399999999999997</v>
      </c>
      <c r="J14" s="38">
        <f t="shared" si="6"/>
        <v>0.47699999999999998</v>
      </c>
      <c r="K14" s="38">
        <f t="shared" si="6"/>
        <v>0.32</v>
      </c>
      <c r="L14" s="38">
        <f>L11+L12+8*L13</f>
        <v>29.837000000000003</v>
      </c>
    </row>
    <row r="15" spans="1:12" hidden="1" x14ac:dyDescent="0.35">
      <c r="A15" t="s">
        <v>47</v>
      </c>
    </row>
    <row r="16" spans="1:12" ht="48" hidden="1" x14ac:dyDescent="0.35">
      <c r="A16" s="20"/>
      <c r="B16" s="12"/>
      <c r="C16" s="13" t="s">
        <v>7</v>
      </c>
      <c r="D16" s="13" t="s">
        <v>8</v>
      </c>
      <c r="E16" s="13" t="s">
        <v>10</v>
      </c>
      <c r="F16" s="13" t="s">
        <v>10</v>
      </c>
      <c r="G16" s="13" t="s">
        <v>20</v>
      </c>
      <c r="H16" s="13" t="s">
        <v>9</v>
      </c>
      <c r="I16" s="13" t="s">
        <v>21</v>
      </c>
      <c r="J16" s="13" t="s">
        <v>23</v>
      </c>
      <c r="K16" s="13" t="s">
        <v>24</v>
      </c>
      <c r="L16" s="14" t="s">
        <v>16</v>
      </c>
    </row>
    <row r="17" spans="1:12" hidden="1" x14ac:dyDescent="0.35">
      <c r="A17" s="227" t="s">
        <v>25</v>
      </c>
      <c r="B17" s="16" t="s">
        <v>22</v>
      </c>
      <c r="C17" s="3">
        <v>3</v>
      </c>
      <c r="D17" s="3"/>
      <c r="E17" s="4">
        <f>C17*D17*5</f>
        <v>0</v>
      </c>
      <c r="F17" s="33">
        <f>ROUND(E17/1000000,3)</f>
        <v>0</v>
      </c>
      <c r="G17" s="34">
        <f>ROUND($G$1*F17,3)</f>
        <v>0</v>
      </c>
      <c r="H17" s="5"/>
      <c r="I17" s="5"/>
      <c r="J17" s="46"/>
      <c r="K17" s="36">
        <f>ROUND(C17*$K$1/1000000,3)</f>
        <v>0.03</v>
      </c>
      <c r="L17" s="37">
        <f>ROUND(F17+G17+H17+I17+J17+K17,3)</f>
        <v>0.03</v>
      </c>
    </row>
    <row r="18" spans="1:12" hidden="1" x14ac:dyDescent="0.35">
      <c r="A18" s="228"/>
      <c r="B18" s="6" t="s">
        <v>11</v>
      </c>
      <c r="C18" s="3">
        <v>3</v>
      </c>
      <c r="D18" s="3">
        <v>10300</v>
      </c>
      <c r="E18" s="4">
        <f>C18*D18*12</f>
        <v>370800</v>
      </c>
      <c r="F18" s="33">
        <f t="shared" ref="F18:F19" si="7">ROUND(E18/1000000,3)</f>
        <v>0.371</v>
      </c>
      <c r="G18" s="34">
        <f t="shared" ref="G18:G19" si="8">ROUND($G$1*F18,3)</f>
        <v>7.4999999999999997E-2</v>
      </c>
      <c r="H18" s="5"/>
      <c r="I18" s="5"/>
      <c r="J18" s="36">
        <f t="shared" ref="J18:J19" si="9">ROUND((C18*$J$1)/1000000,3)</f>
        <v>5.0000000000000001E-3</v>
      </c>
      <c r="K18" s="5"/>
      <c r="L18" s="37">
        <f t="shared" ref="L18:L19" si="10">ROUND(F18+G18+H18+I18+J18+K18,3)</f>
        <v>0.45100000000000001</v>
      </c>
    </row>
    <row r="19" spans="1:12" hidden="1" x14ac:dyDescent="0.35">
      <c r="A19" s="228"/>
      <c r="B19" s="6" t="s">
        <v>15</v>
      </c>
      <c r="C19" s="3">
        <v>3</v>
      </c>
      <c r="D19" s="3">
        <v>10300</v>
      </c>
      <c r="E19" s="4">
        <f>C19*D19*12</f>
        <v>370800</v>
      </c>
      <c r="F19" s="33">
        <f t="shared" si="7"/>
        <v>0.371</v>
      </c>
      <c r="G19" s="34">
        <f t="shared" si="8"/>
        <v>7.4999999999999997E-2</v>
      </c>
      <c r="H19" s="33">
        <f>ROUND($H$1*F19,3)</f>
        <v>3.2000000000000001E-2</v>
      </c>
      <c r="I19" s="35">
        <f>ROUND($I$1*H19,3)</f>
        <v>6.0000000000000001E-3</v>
      </c>
      <c r="J19" s="36">
        <f t="shared" si="9"/>
        <v>5.0000000000000001E-3</v>
      </c>
      <c r="K19" s="5"/>
      <c r="L19" s="37">
        <f t="shared" si="10"/>
        <v>0.48899999999999999</v>
      </c>
    </row>
    <row r="20" spans="1:12" ht="15" hidden="1" thickBot="1" x14ac:dyDescent="0.4">
      <c r="A20" s="229"/>
      <c r="B20" s="40" t="s">
        <v>37</v>
      </c>
      <c r="C20" s="41"/>
      <c r="D20" s="41"/>
      <c r="E20" s="41"/>
      <c r="F20" s="41"/>
      <c r="G20" s="41"/>
      <c r="H20" s="41"/>
      <c r="I20" s="41"/>
      <c r="J20" s="41"/>
      <c r="K20" s="41"/>
      <c r="L20" s="43">
        <f>L17+L18+9*L19</f>
        <v>4.8819999999999997</v>
      </c>
    </row>
    <row r="21" spans="1:12" hidden="1" x14ac:dyDescent="0.35">
      <c r="A21" s="227" t="s">
        <v>26</v>
      </c>
      <c r="B21" s="16" t="s">
        <v>22</v>
      </c>
      <c r="C21" s="3">
        <v>9</v>
      </c>
      <c r="D21" s="3">
        <v>10300</v>
      </c>
      <c r="E21" s="4">
        <f>C21*D21*5</f>
        <v>463500</v>
      </c>
      <c r="F21" s="33">
        <f>ROUND(E21/1000000,3)</f>
        <v>0.46400000000000002</v>
      </c>
      <c r="G21" s="34">
        <f>ROUND($G$1*F21,3)</f>
        <v>9.4E-2</v>
      </c>
      <c r="H21" s="5"/>
      <c r="I21" s="5"/>
      <c r="J21" s="46"/>
      <c r="K21" s="36">
        <f>ROUND(C21*$K$1/1000000,3)</f>
        <v>0.09</v>
      </c>
      <c r="L21" s="37">
        <f>F21+G21+H21+I21+J21+K21</f>
        <v>0.64800000000000002</v>
      </c>
    </row>
    <row r="22" spans="1:12" hidden="1" x14ac:dyDescent="0.35">
      <c r="A22" s="228"/>
      <c r="B22" s="6" t="s">
        <v>11</v>
      </c>
      <c r="C22" s="3">
        <v>9</v>
      </c>
      <c r="D22" s="3">
        <v>10300</v>
      </c>
      <c r="E22" s="4">
        <f>C22*D22*12</f>
        <v>1112400</v>
      </c>
      <c r="F22" s="33">
        <f t="shared" ref="F22:F23" si="11">ROUND(E22/1000000,3)</f>
        <v>1.1120000000000001</v>
      </c>
      <c r="G22" s="34">
        <f t="shared" ref="G22:G23" si="12">ROUND($G$1*F22,3)</f>
        <v>0.22500000000000001</v>
      </c>
      <c r="H22" s="5"/>
      <c r="I22" s="5"/>
      <c r="J22" s="36">
        <f t="shared" ref="J22:J23" si="13">ROUND(C22*$J$1/1000000,3)</f>
        <v>1.4999999999999999E-2</v>
      </c>
      <c r="K22" s="5"/>
      <c r="L22" s="37">
        <f t="shared" ref="L22:L23" si="14">F22+G22+H22+I22+J22+K22</f>
        <v>1.3520000000000001</v>
      </c>
    </row>
    <row r="23" spans="1:12" hidden="1" x14ac:dyDescent="0.35">
      <c r="A23" s="228"/>
      <c r="B23" s="6" t="s">
        <v>15</v>
      </c>
      <c r="C23" s="3">
        <v>9</v>
      </c>
      <c r="D23" s="3">
        <v>10300</v>
      </c>
      <c r="E23" s="4">
        <f>C23*D23*12</f>
        <v>1112400</v>
      </c>
      <c r="F23" s="33">
        <f t="shared" si="11"/>
        <v>1.1120000000000001</v>
      </c>
      <c r="G23" s="34">
        <f t="shared" si="12"/>
        <v>0.22500000000000001</v>
      </c>
      <c r="H23" s="33">
        <f>ROUND($H$1*F23,3)</f>
        <v>9.5000000000000001E-2</v>
      </c>
      <c r="I23" s="35">
        <f>ROUND($I$1*H23,3)</f>
        <v>1.9E-2</v>
      </c>
      <c r="J23" s="36">
        <f t="shared" si="13"/>
        <v>1.4999999999999999E-2</v>
      </c>
      <c r="K23" s="5"/>
      <c r="L23" s="37">
        <f t="shared" si="14"/>
        <v>1.466</v>
      </c>
    </row>
    <row r="24" spans="1:12" ht="15" hidden="1" thickBot="1" x14ac:dyDescent="0.4">
      <c r="A24" s="229"/>
      <c r="B24" s="40" t="s">
        <v>37</v>
      </c>
      <c r="C24" s="41"/>
      <c r="D24" s="41"/>
      <c r="E24" s="41"/>
      <c r="F24" s="42">
        <f>F21+F22+9*F23</f>
        <v>11.584000000000001</v>
      </c>
      <c r="G24" s="42">
        <f t="shared" ref="G24:L24" si="15">G21+G22+9*G23</f>
        <v>2.3439999999999999</v>
      </c>
      <c r="H24" s="42">
        <f t="shared" si="15"/>
        <v>0.85499999999999998</v>
      </c>
      <c r="I24" s="42">
        <f t="shared" si="15"/>
        <v>0.17099999999999999</v>
      </c>
      <c r="J24" s="42">
        <f t="shared" si="15"/>
        <v>0.15000000000000002</v>
      </c>
      <c r="K24" s="42">
        <f t="shared" si="15"/>
        <v>0.09</v>
      </c>
      <c r="L24" s="43">
        <f t="shared" si="15"/>
        <v>15.193999999999999</v>
      </c>
    </row>
    <row r="25" spans="1:12" hidden="1" x14ac:dyDescent="0.35">
      <c r="A25" s="21"/>
      <c r="B25" s="16" t="s">
        <v>22</v>
      </c>
      <c r="C25" s="3">
        <v>12</v>
      </c>
      <c r="D25" s="3">
        <v>10300</v>
      </c>
      <c r="E25" s="4">
        <f>C25*D25*5</f>
        <v>618000</v>
      </c>
      <c r="F25" s="33">
        <f>ROUND(E25/1000000,3)</f>
        <v>0.61799999999999999</v>
      </c>
      <c r="G25" s="34">
        <f>ROUND($G$1*F25,3)</f>
        <v>0.125</v>
      </c>
      <c r="H25" s="5"/>
      <c r="I25" s="5"/>
      <c r="J25" s="46"/>
      <c r="K25" s="36">
        <f>ROUND(C25*$K$1/1000000,3)</f>
        <v>0.12</v>
      </c>
      <c r="L25" s="37">
        <f>F25+G25+H25+I25+J25+K25</f>
        <v>0.86299999999999999</v>
      </c>
    </row>
    <row r="26" spans="1:12" hidden="1" x14ac:dyDescent="0.35">
      <c r="A26" s="22" t="s">
        <v>27</v>
      </c>
      <c r="B26" s="6" t="s">
        <v>11</v>
      </c>
      <c r="C26" s="3">
        <v>12</v>
      </c>
      <c r="D26" s="3">
        <v>10300</v>
      </c>
      <c r="E26" s="4">
        <f>C26*D26*12</f>
        <v>1483200</v>
      </c>
      <c r="F26" s="33">
        <f t="shared" ref="F26:F27" si="16">ROUND(E26/1000000,3)</f>
        <v>1.4830000000000001</v>
      </c>
      <c r="G26" s="34">
        <f>ROUND($G$1*F26,3)</f>
        <v>0.29899999999999999</v>
      </c>
      <c r="H26" s="5"/>
      <c r="I26" s="5"/>
      <c r="J26" s="36">
        <f t="shared" ref="J26:J27" si="17">ROUND((C26*$J$1)/1000000,3)</f>
        <v>0.02</v>
      </c>
      <c r="K26" s="5"/>
      <c r="L26" s="37">
        <f>F26+G26+H26+I26+J26+K26</f>
        <v>1.802</v>
      </c>
    </row>
    <row r="27" spans="1:12" hidden="1" x14ac:dyDescent="0.35">
      <c r="A27" s="23"/>
      <c r="B27" s="6" t="s">
        <v>15</v>
      </c>
      <c r="C27" s="3">
        <v>12</v>
      </c>
      <c r="D27" s="3">
        <v>10300</v>
      </c>
      <c r="E27" s="4">
        <f>C27*D27*12</f>
        <v>1483200</v>
      </c>
      <c r="F27" s="33">
        <f t="shared" si="16"/>
        <v>1.4830000000000001</v>
      </c>
      <c r="G27" s="34">
        <f>ROUND($G$1*F27,3)</f>
        <v>0.29899999999999999</v>
      </c>
      <c r="H27" s="33">
        <f>ROUND($H$1*F27,3)</f>
        <v>0.126</v>
      </c>
      <c r="I27" s="35">
        <f>ROUND($I$1*H27,3)</f>
        <v>2.5000000000000001E-2</v>
      </c>
      <c r="J27" s="36">
        <f t="shared" si="17"/>
        <v>0.02</v>
      </c>
      <c r="K27" s="5"/>
      <c r="L27" s="37">
        <f>F27+G27+H27+I27+J27+K27</f>
        <v>1.9529999999999998</v>
      </c>
    </row>
    <row r="28" spans="1:12" ht="15" hidden="1" thickBot="1" x14ac:dyDescent="0.4">
      <c r="A28" s="24"/>
      <c r="B28" s="47"/>
      <c r="C28" s="41"/>
      <c r="D28" s="41"/>
      <c r="E28" s="41"/>
      <c r="F28" s="42">
        <f>F25+F26+9*F27</f>
        <v>15.448</v>
      </c>
      <c r="G28" s="42">
        <f t="shared" ref="G28:L28" si="18">G25+G26+9*G27</f>
        <v>3.1149999999999998</v>
      </c>
      <c r="H28" s="42">
        <f t="shared" si="18"/>
        <v>1.1339999999999999</v>
      </c>
      <c r="I28" s="42">
        <f t="shared" si="18"/>
        <v>0.22500000000000001</v>
      </c>
      <c r="J28" s="42">
        <f t="shared" si="18"/>
        <v>0.19999999999999998</v>
      </c>
      <c r="K28" s="42">
        <f t="shared" si="18"/>
        <v>0.12</v>
      </c>
      <c r="L28" s="43">
        <f t="shared" si="18"/>
        <v>20.241999999999997</v>
      </c>
    </row>
    <row r="29" spans="1:12" s="19" customFormat="1" x14ac:dyDescent="0.35">
      <c r="A29" s="51" t="s">
        <v>82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60.5" thickBot="1" x14ac:dyDescent="0.4">
      <c r="A30" s="20"/>
      <c r="B30" s="12"/>
      <c r="C30" s="13" t="s">
        <v>7</v>
      </c>
      <c r="D30" s="13" t="s">
        <v>8</v>
      </c>
      <c r="E30" s="13" t="s">
        <v>10</v>
      </c>
      <c r="F30" s="13" t="s">
        <v>91</v>
      </c>
      <c r="G30" s="13" t="s">
        <v>92</v>
      </c>
      <c r="H30" s="13" t="s">
        <v>93</v>
      </c>
      <c r="I30" s="13" t="s">
        <v>21</v>
      </c>
      <c r="J30" s="13" t="s">
        <v>23</v>
      </c>
      <c r="K30" s="13" t="s">
        <v>95</v>
      </c>
      <c r="L30" s="14" t="s">
        <v>94</v>
      </c>
    </row>
    <row r="31" spans="1:12" x14ac:dyDescent="0.35">
      <c r="A31" s="225" t="s">
        <v>81</v>
      </c>
      <c r="B31" s="150" t="s">
        <v>90</v>
      </c>
      <c r="C31" s="3">
        <v>3</v>
      </c>
      <c r="D31" s="102">
        <v>6500</v>
      </c>
      <c r="E31" s="154">
        <f>C31*D31*4</f>
        <v>78000</v>
      </c>
      <c r="F31" s="155">
        <f>ROUNDDOWN(E31/1000000,3)</f>
        <v>7.8E-2</v>
      </c>
      <c r="G31" s="101">
        <f>ROUND($G$1*F31,3)</f>
        <v>1.6E-2</v>
      </c>
      <c r="H31" s="5"/>
      <c r="I31" s="5"/>
      <c r="J31" s="5"/>
      <c r="K31" s="39">
        <f>ROUNDDOWN((C31*K1)/1000000,3)</f>
        <v>0.03</v>
      </c>
      <c r="L31" s="140">
        <f>(E31+G31+J31+K31)/1000000</f>
        <v>7.8000046000000003E-2</v>
      </c>
    </row>
    <row r="32" spans="1:12" x14ac:dyDescent="0.35">
      <c r="A32" s="226"/>
      <c r="B32" s="150" t="s">
        <v>84</v>
      </c>
      <c r="C32" s="94">
        <f>C31</f>
        <v>3</v>
      </c>
      <c r="D32" s="94">
        <f>D31</f>
        <v>6500</v>
      </c>
      <c r="E32" s="156">
        <f>D32*C32*12</f>
        <v>234000</v>
      </c>
      <c r="F32" s="152">
        <f>ROUND(E32/1000000,3)</f>
        <v>0.23400000000000001</v>
      </c>
      <c r="G32" s="101">
        <f>ROUND($G$1*F32,3)</f>
        <v>4.7E-2</v>
      </c>
      <c r="H32" s="39"/>
      <c r="I32" s="39"/>
      <c r="J32" s="99">
        <f>ROUND(C32*$J$1/1000000,3)</f>
        <v>5.0000000000000001E-3</v>
      </c>
      <c r="K32" s="99">
        <v>0</v>
      </c>
      <c r="L32" s="140">
        <f>F32+G32+H32+I32+J32+K32</f>
        <v>0.28600000000000003</v>
      </c>
    </row>
    <row r="33" spans="1:12" x14ac:dyDescent="0.35">
      <c r="A33" s="226"/>
      <c r="B33" s="150" t="s">
        <v>85</v>
      </c>
      <c r="C33" s="94">
        <f>C32</f>
        <v>3</v>
      </c>
      <c r="D33" s="94">
        <f>D32</f>
        <v>6500</v>
      </c>
      <c r="E33" s="156">
        <f>D33*C33*12</f>
        <v>234000</v>
      </c>
      <c r="F33" s="152">
        <f>ROUND(E33/1000000,3)</f>
        <v>0.23400000000000001</v>
      </c>
      <c r="G33" s="101">
        <f>ROUND($G$1*F33,3)</f>
        <v>4.7E-2</v>
      </c>
      <c r="H33" s="152">
        <f>ROUND($H$1*F33,3)</f>
        <v>0.02</v>
      </c>
      <c r="I33" s="99">
        <f>ROUND($I$1*H33,3)</f>
        <v>4.0000000000000001E-3</v>
      </c>
      <c r="J33" s="99">
        <f>ROUND(C33*$J$1/1000000,3)</f>
        <v>5.0000000000000001E-3</v>
      </c>
      <c r="K33" s="99">
        <v>0</v>
      </c>
      <c r="L33" s="140">
        <f>F33+G33+H33+I33+J33+K33</f>
        <v>0.31000000000000005</v>
      </c>
    </row>
    <row r="34" spans="1:12" ht="15" thickBot="1" x14ac:dyDescent="0.4">
      <c r="A34" s="25"/>
      <c r="B34" s="48" t="s">
        <v>37</v>
      </c>
      <c r="C34" s="44"/>
      <c r="D34" s="44"/>
      <c r="E34" s="45">
        <f>E31+E32+E33*8</f>
        <v>2184000</v>
      </c>
      <c r="F34" s="38">
        <f>ROUNDDOWN(E34/1000000,3)</f>
        <v>2.1840000000000002</v>
      </c>
      <c r="G34" s="38">
        <f>G31+G32+8*G33</f>
        <v>0.439</v>
      </c>
      <c r="H34" s="38">
        <f>H31+H32+8*H33</f>
        <v>0.16</v>
      </c>
      <c r="I34" s="38">
        <f>I31+I32+8*I33</f>
        <v>3.2000000000000001E-2</v>
      </c>
      <c r="J34" s="38">
        <f>J31+J32+8*J33</f>
        <v>4.4999999999999998E-2</v>
      </c>
      <c r="K34" s="38">
        <f>K31+K32+8*K33</f>
        <v>0.03</v>
      </c>
      <c r="L34" s="49">
        <f>L31+L32+L33*8</f>
        <v>2.8440000460000006</v>
      </c>
    </row>
    <row r="35" spans="1:12" x14ac:dyDescent="0.35">
      <c r="L35" s="31"/>
    </row>
    <row r="38" spans="1:12" x14ac:dyDescent="0.35">
      <c r="B38" s="145"/>
      <c r="C38" s="145"/>
      <c r="D38" s="146"/>
      <c r="E38" s="1"/>
    </row>
    <row r="39" spans="1:12" x14ac:dyDescent="0.35">
      <c r="C39" s="145"/>
      <c r="D39" s="147"/>
      <c r="E39" s="1"/>
    </row>
    <row r="40" spans="1:12" x14ac:dyDescent="0.35">
      <c r="C40" s="1"/>
      <c r="D40" s="1"/>
      <c r="E40" s="1"/>
    </row>
  </sheetData>
  <mergeCells count="7">
    <mergeCell ref="A31:A33"/>
    <mergeCell ref="A21:A24"/>
    <mergeCell ref="A1:B1"/>
    <mergeCell ref="A3:A6"/>
    <mergeCell ref="A11:A13"/>
    <mergeCell ref="A7:A10"/>
    <mergeCell ref="A17:A20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DE40-1A69-4139-A65C-30E682E7DBF8}">
  <sheetPr>
    <pageSetUpPr fitToPage="1"/>
  </sheetPr>
  <dimension ref="A1:M43"/>
  <sheetViews>
    <sheetView tabSelected="1" zoomScaleNormal="100" workbookViewId="0">
      <pane xSplit="1" ySplit="2" topLeftCell="D12" activePane="bottomRight" state="frozen"/>
      <selection pane="topRight" activeCell="B1" sqref="B1"/>
      <selection pane="bottomLeft" activeCell="A6" sqref="A6"/>
      <selection pane="bottomRight" activeCell="M22" sqref="M22"/>
    </sheetView>
  </sheetViews>
  <sheetFormatPr defaultRowHeight="14.5" x14ac:dyDescent="0.35"/>
  <cols>
    <col min="1" max="1" width="30.453125" customWidth="1"/>
    <col min="2" max="2" width="12.08984375" customWidth="1"/>
    <col min="3" max="4" width="12.54296875" customWidth="1"/>
    <col min="5" max="5" width="12.1796875" customWidth="1"/>
    <col min="6" max="6" width="13" customWidth="1"/>
    <col min="7" max="7" width="14.81640625" customWidth="1"/>
    <col min="8" max="8" width="12.08984375" customWidth="1"/>
    <col min="9" max="9" width="13.6328125" customWidth="1"/>
    <col min="10" max="10" width="12.08984375" customWidth="1"/>
    <col min="11" max="11" width="14.36328125" customWidth="1"/>
    <col min="12" max="12" width="12.36328125" customWidth="1"/>
    <col min="13" max="13" width="14.453125" customWidth="1"/>
  </cols>
  <sheetData>
    <row r="1" spans="1:13" s="55" customFormat="1" thickBot="1" x14ac:dyDescent="0.35">
      <c r="A1" s="218"/>
      <c r="B1" s="219">
        <v>2021</v>
      </c>
      <c r="C1" s="219">
        <v>2022</v>
      </c>
      <c r="D1" s="219">
        <v>2023</v>
      </c>
      <c r="E1" s="219">
        <v>2024</v>
      </c>
      <c r="F1" s="219">
        <v>2025</v>
      </c>
      <c r="G1" s="219">
        <v>2026</v>
      </c>
      <c r="H1" s="219">
        <v>2027</v>
      </c>
      <c r="I1" s="219">
        <v>2028</v>
      </c>
      <c r="J1" s="219">
        <v>2029</v>
      </c>
      <c r="K1" s="219">
        <v>2030</v>
      </c>
      <c r="L1" s="219">
        <v>2031</v>
      </c>
      <c r="M1" s="54"/>
    </row>
    <row r="2" spans="1:13" s="55" customFormat="1" thickBot="1" x14ac:dyDescent="0.35">
      <c r="A2" s="238" t="s">
        <v>0</v>
      </c>
      <c r="B2" s="240" t="s">
        <v>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</row>
    <row r="3" spans="1:13" s="55" customFormat="1" thickBot="1" x14ac:dyDescent="0.35">
      <c r="A3" s="239"/>
      <c r="B3" s="27">
        <v>0</v>
      </c>
      <c r="C3" s="28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28">
        <v>10</v>
      </c>
      <c r="M3" s="29" t="s">
        <v>2</v>
      </c>
    </row>
    <row r="4" spans="1:13" ht="18.649999999999999" customHeight="1" thickBot="1" x14ac:dyDescent="0.4">
      <c r="A4" s="197" t="s">
        <v>12</v>
      </c>
      <c r="B4" s="108">
        <f t="shared" ref="B4:L4" si="0">B5+B8+B11</f>
        <v>0</v>
      </c>
      <c r="C4" s="109">
        <f t="shared" si="0"/>
        <v>0</v>
      </c>
      <c r="D4" s="109">
        <f t="shared" si="0"/>
        <v>3.3730000000000002</v>
      </c>
      <c r="E4" s="109">
        <f t="shared" si="0"/>
        <v>3.3080000000000003</v>
      </c>
      <c r="F4" s="109">
        <f t="shared" si="0"/>
        <v>3.3080000000000003</v>
      </c>
      <c r="G4" s="109">
        <f t="shared" si="0"/>
        <v>3.3080000000000003</v>
      </c>
      <c r="H4" s="109">
        <f t="shared" si="0"/>
        <v>5.0200000000000005</v>
      </c>
      <c r="I4" s="109">
        <f t="shared" si="0"/>
        <v>5.0200000000000005</v>
      </c>
      <c r="J4" s="109">
        <f t="shared" si="0"/>
        <v>64.115000000000009</v>
      </c>
      <c r="K4" s="109">
        <f t="shared" si="0"/>
        <v>64.115000000000009</v>
      </c>
      <c r="L4" s="109">
        <f t="shared" si="0"/>
        <v>64.115000000000009</v>
      </c>
      <c r="M4" s="220">
        <f>SUM(B4:L4)</f>
        <v>215.68200000000002</v>
      </c>
    </row>
    <row r="5" spans="1:13" ht="15" thickBot="1" x14ac:dyDescent="0.4">
      <c r="A5" s="122" t="s">
        <v>3</v>
      </c>
      <c r="B5" s="198">
        <f>B6+B7</f>
        <v>0</v>
      </c>
      <c r="C5" s="199">
        <f t="shared" ref="C5:L5" si="1">C6+C7</f>
        <v>0</v>
      </c>
      <c r="D5" s="199">
        <f t="shared" si="1"/>
        <v>0</v>
      </c>
      <c r="E5" s="199">
        <f t="shared" si="1"/>
        <v>0</v>
      </c>
      <c r="F5" s="199">
        <f t="shared" si="1"/>
        <v>0</v>
      </c>
      <c r="G5" s="199">
        <f t="shared" si="1"/>
        <v>0</v>
      </c>
      <c r="H5" s="199">
        <f t="shared" si="1"/>
        <v>0.62</v>
      </c>
      <c r="I5" s="199">
        <f t="shared" si="1"/>
        <v>0.62</v>
      </c>
      <c r="J5" s="199">
        <f t="shared" si="1"/>
        <v>5.92</v>
      </c>
      <c r="K5" s="199">
        <f t="shared" si="1"/>
        <v>5.92</v>
      </c>
      <c r="L5" s="195">
        <f t="shared" si="1"/>
        <v>5.92</v>
      </c>
      <c r="M5" s="196">
        <f>SUM(B5:L5)</f>
        <v>19</v>
      </c>
    </row>
    <row r="6" spans="1:13" x14ac:dyDescent="0.35">
      <c r="A6" s="119" t="s">
        <v>30</v>
      </c>
      <c r="B6" s="200">
        <v>0</v>
      </c>
      <c r="C6" s="201">
        <v>0</v>
      </c>
      <c r="D6" s="201">
        <v>0</v>
      </c>
      <c r="E6" s="201">
        <v>0</v>
      </c>
      <c r="F6" s="201">
        <v>0</v>
      </c>
      <c r="G6" s="201">
        <v>0</v>
      </c>
      <c r="H6" s="201">
        <v>0.62</v>
      </c>
      <c r="I6" s="201">
        <f>H6</f>
        <v>0.62</v>
      </c>
      <c r="J6" s="201">
        <v>0.62</v>
      </c>
      <c r="K6" s="201">
        <f t="shared" ref="K6:L6" si="2">J6</f>
        <v>0.62</v>
      </c>
      <c r="L6" s="120">
        <f t="shared" si="2"/>
        <v>0.62</v>
      </c>
      <c r="M6" s="121">
        <f t="shared" ref="M6:M7" si="3">SUM(B6:L6)</f>
        <v>3.1</v>
      </c>
    </row>
    <row r="7" spans="1:13" ht="15" thickBot="1" x14ac:dyDescent="0.4">
      <c r="A7" s="116" t="s">
        <v>31</v>
      </c>
      <c r="B7" s="202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/>
      <c r="I7" s="129">
        <v>0</v>
      </c>
      <c r="J7" s="129">
        <v>5.3</v>
      </c>
      <c r="K7" s="129">
        <f t="shared" ref="K7:L7" si="4">J7</f>
        <v>5.3</v>
      </c>
      <c r="L7" s="117">
        <f t="shared" si="4"/>
        <v>5.3</v>
      </c>
      <c r="M7" s="118">
        <f t="shared" si="3"/>
        <v>15.899999999999999</v>
      </c>
    </row>
    <row r="8" spans="1:13" ht="15" thickBot="1" x14ac:dyDescent="0.4">
      <c r="A8" s="203" t="s">
        <v>4</v>
      </c>
      <c r="B8" s="204">
        <f>B9+B10</f>
        <v>0</v>
      </c>
      <c r="C8" s="204">
        <f t="shared" ref="C8:L8" si="5">C9+C10</f>
        <v>0</v>
      </c>
      <c r="D8" s="204">
        <f t="shared" si="5"/>
        <v>3.3730000000000002</v>
      </c>
      <c r="E8" s="204">
        <f t="shared" si="5"/>
        <v>3.3080000000000003</v>
      </c>
      <c r="F8" s="204">
        <f t="shared" si="5"/>
        <v>3.3080000000000003</v>
      </c>
      <c r="G8" s="204">
        <f t="shared" si="5"/>
        <v>3.3080000000000003</v>
      </c>
      <c r="H8" s="204">
        <f t="shared" si="5"/>
        <v>3.9630000000000001</v>
      </c>
      <c r="I8" s="204">
        <f t="shared" si="5"/>
        <v>3.9630000000000001</v>
      </c>
      <c r="J8" s="204">
        <f t="shared" si="5"/>
        <v>36.24</v>
      </c>
      <c r="K8" s="204">
        <f t="shared" si="5"/>
        <v>36.24</v>
      </c>
      <c r="L8" s="204">
        <f t="shared" si="5"/>
        <v>36.24</v>
      </c>
      <c r="M8" s="137">
        <f>SUM(M9:M10)</f>
        <v>129.94300000000001</v>
      </c>
    </row>
    <row r="9" spans="1:13" x14ac:dyDescent="0.35">
      <c r="A9" s="205" t="s">
        <v>79</v>
      </c>
      <c r="B9" s="206">
        <f>'koszty wynagrodzeń MKiŚ i UM'!L11</f>
        <v>0</v>
      </c>
      <c r="C9" s="130">
        <f>'koszty wynagrodzeń MKiŚ i UM'!L11</f>
        <v>0</v>
      </c>
      <c r="D9" s="130">
        <f>'koszty wynagrodzeń MKiŚ i UM'!L12</f>
        <v>3.3730000000000002</v>
      </c>
      <c r="E9" s="130">
        <f>'koszty wynagrodzeń MKiŚ i UM'!L13</f>
        <v>3.3080000000000003</v>
      </c>
      <c r="F9" s="130">
        <f t="shared" ref="F9:L9" si="6">E9</f>
        <v>3.3080000000000003</v>
      </c>
      <c r="G9" s="130">
        <f t="shared" si="6"/>
        <v>3.3080000000000003</v>
      </c>
      <c r="H9" s="130">
        <f t="shared" si="6"/>
        <v>3.3080000000000003</v>
      </c>
      <c r="I9" s="130">
        <f t="shared" si="6"/>
        <v>3.3080000000000003</v>
      </c>
      <c r="J9" s="130">
        <f t="shared" si="6"/>
        <v>3.3080000000000003</v>
      </c>
      <c r="K9" s="130">
        <f t="shared" si="6"/>
        <v>3.3080000000000003</v>
      </c>
      <c r="L9" s="130">
        <f t="shared" si="6"/>
        <v>3.3080000000000003</v>
      </c>
      <c r="M9" s="221">
        <f>SUM(B9:L9)</f>
        <v>29.837</v>
      </c>
    </row>
    <row r="10" spans="1:13" ht="46.5" thickBot="1" x14ac:dyDescent="0.4">
      <c r="A10" s="139" t="s">
        <v>76</v>
      </c>
      <c r="B10" s="112">
        <v>0</v>
      </c>
      <c r="C10" s="111">
        <v>0</v>
      </c>
      <c r="D10" s="111">
        <v>0</v>
      </c>
      <c r="E10" s="111">
        <v>0</v>
      </c>
      <c r="F10" s="111">
        <v>0</v>
      </c>
      <c r="G10" s="110">
        <v>0</v>
      </c>
      <c r="H10" s="110">
        <v>0.65500000000000003</v>
      </c>
      <c r="I10" s="111">
        <v>0.65500000000000003</v>
      </c>
      <c r="J10" s="111">
        <v>32.932000000000002</v>
      </c>
      <c r="K10" s="132">
        <f t="shared" ref="K10:L10" si="7">J10</f>
        <v>32.932000000000002</v>
      </c>
      <c r="L10" s="132">
        <f t="shared" si="7"/>
        <v>32.932000000000002</v>
      </c>
      <c r="M10" s="222">
        <f t="shared" ref="M10" si="8">SUM(B10:L10)</f>
        <v>100.10600000000001</v>
      </c>
    </row>
    <row r="11" spans="1:13" ht="48.5" thickBot="1" x14ac:dyDescent="0.4">
      <c r="A11" s="113" t="s">
        <v>77</v>
      </c>
      <c r="B11" s="114">
        <v>0</v>
      </c>
      <c r="C11" s="114">
        <v>0</v>
      </c>
      <c r="D11" s="114">
        <v>0</v>
      </c>
      <c r="E11" s="114">
        <v>0</v>
      </c>
      <c r="F11" s="114">
        <v>0</v>
      </c>
      <c r="G11" s="115">
        <v>0</v>
      </c>
      <c r="H11" s="115">
        <v>0.437</v>
      </c>
      <c r="I11" s="123">
        <v>0.437</v>
      </c>
      <c r="J11" s="124">
        <v>21.954999999999998</v>
      </c>
      <c r="K11" s="223">
        <v>21.954999999999998</v>
      </c>
      <c r="L11" s="134">
        <v>21.954999999999998</v>
      </c>
      <c r="M11" s="135">
        <f>SUM(B11:L11)</f>
        <v>66.73899999999999</v>
      </c>
    </row>
    <row r="12" spans="1:13" ht="21" customHeight="1" thickBot="1" x14ac:dyDescent="0.4">
      <c r="A12" s="125" t="s">
        <v>13</v>
      </c>
      <c r="B12" s="126">
        <f t="shared" ref="B12:L12" si="9">SUM(B13,B18,B22)</f>
        <v>0</v>
      </c>
      <c r="C12" s="126">
        <f t="shared" si="9"/>
        <v>0.69400004599999998</v>
      </c>
      <c r="D12" s="126">
        <f t="shared" si="9"/>
        <v>9.6269999999999989</v>
      </c>
      <c r="E12" s="126">
        <f t="shared" si="9"/>
        <v>18.251000000000001</v>
      </c>
      <c r="F12" s="126">
        <f t="shared" si="9"/>
        <v>18.2</v>
      </c>
      <c r="G12" s="126">
        <f t="shared" si="9"/>
        <v>18.2</v>
      </c>
      <c r="H12" s="126">
        <f t="shared" si="9"/>
        <v>18.2</v>
      </c>
      <c r="I12" s="126">
        <f t="shared" si="9"/>
        <v>18.2</v>
      </c>
      <c r="J12" s="126">
        <f t="shared" si="9"/>
        <v>18.376000000000001</v>
      </c>
      <c r="K12" s="126">
        <f t="shared" si="9"/>
        <v>18.2</v>
      </c>
      <c r="L12" s="126">
        <f t="shared" si="9"/>
        <v>18.2</v>
      </c>
      <c r="M12" s="127">
        <f>SUM(B12:L12)</f>
        <v>156.14800004599999</v>
      </c>
    </row>
    <row r="13" spans="1:13" ht="25.5" customHeight="1" thickBot="1" x14ac:dyDescent="0.4">
      <c r="A13" s="142" t="s">
        <v>6</v>
      </c>
      <c r="B13" s="207">
        <f>SUM(B14:B17)</f>
        <v>0</v>
      </c>
      <c r="C13" s="207">
        <f t="shared" ref="C13:L13" si="10">SUM(C14:C17)</f>
        <v>0.66000004599999995</v>
      </c>
      <c r="D13" s="207">
        <f t="shared" si="10"/>
        <v>5.0640000000000001</v>
      </c>
      <c r="E13" s="207">
        <f t="shared" si="10"/>
        <v>13.88</v>
      </c>
      <c r="F13" s="207">
        <f t="shared" si="10"/>
        <v>13.88</v>
      </c>
      <c r="G13" s="207">
        <f t="shared" si="10"/>
        <v>13.88</v>
      </c>
      <c r="H13" s="207">
        <f t="shared" si="10"/>
        <v>13.88</v>
      </c>
      <c r="I13" s="207">
        <f t="shared" si="10"/>
        <v>13.88</v>
      </c>
      <c r="J13" s="207">
        <f t="shared" si="10"/>
        <v>13.88</v>
      </c>
      <c r="K13" s="207">
        <f t="shared" si="10"/>
        <v>13.88</v>
      </c>
      <c r="L13" s="207">
        <f t="shared" si="10"/>
        <v>13.88</v>
      </c>
      <c r="M13" s="208">
        <f>SUM(B13:L13)</f>
        <v>116.76400004599999</v>
      </c>
    </row>
    <row r="14" spans="1:13" ht="23" x14ac:dyDescent="0.35">
      <c r="A14" s="143" t="s">
        <v>78</v>
      </c>
      <c r="B14" s="144">
        <f>B9</f>
        <v>0</v>
      </c>
      <c r="C14" s="144">
        <f>'koszty wynagrodzeń MKiŚ i UM'!L11</f>
        <v>0</v>
      </c>
      <c r="D14" s="144">
        <f>'koszty wynagrodzeń MKiŚ i UM'!L12</f>
        <v>3.3730000000000002</v>
      </c>
      <c r="E14" s="144">
        <f>'koszty wynagrodzeń MKiŚ i UM'!L13</f>
        <v>3.3080000000000003</v>
      </c>
      <c r="F14" s="144">
        <f t="shared" ref="F14:L14" si="11">F9</f>
        <v>3.3080000000000003</v>
      </c>
      <c r="G14" s="144">
        <f t="shared" si="11"/>
        <v>3.3080000000000003</v>
      </c>
      <c r="H14" s="144">
        <f t="shared" si="11"/>
        <v>3.3080000000000003</v>
      </c>
      <c r="I14" s="144">
        <f t="shared" si="11"/>
        <v>3.3080000000000003</v>
      </c>
      <c r="J14" s="144">
        <f t="shared" si="11"/>
        <v>3.3080000000000003</v>
      </c>
      <c r="K14" s="144">
        <f t="shared" si="11"/>
        <v>3.3080000000000003</v>
      </c>
      <c r="L14" s="144">
        <f t="shared" si="11"/>
        <v>3.3080000000000003</v>
      </c>
      <c r="M14" s="144">
        <f t="shared" ref="M14:M21" si="12">SUM(B14:L14)</f>
        <v>29.837</v>
      </c>
    </row>
    <row r="15" spans="1:13" x14ac:dyDescent="0.35">
      <c r="A15" s="192" t="s">
        <v>80</v>
      </c>
      <c r="B15" s="141">
        <v>0</v>
      </c>
      <c r="C15" s="193">
        <f>'koszty wynagrodzeń MKiŚ i UM'!L31</f>
        <v>7.8000046000000003E-2</v>
      </c>
      <c r="D15" s="193">
        <f>'koszty wynagrodzeń MKiŚ i UM'!L32</f>
        <v>0.28600000000000003</v>
      </c>
      <c r="E15" s="193">
        <f>'koszty wynagrodzeń MKiŚ i UM'!L33</f>
        <v>0.31000000000000005</v>
      </c>
      <c r="F15" s="193">
        <f t="shared" ref="F15:L15" si="13">E15</f>
        <v>0.31000000000000005</v>
      </c>
      <c r="G15" s="193">
        <f t="shared" si="13"/>
        <v>0.31000000000000005</v>
      </c>
      <c r="H15" s="193">
        <f t="shared" si="13"/>
        <v>0.31000000000000005</v>
      </c>
      <c r="I15" s="193">
        <f t="shared" si="13"/>
        <v>0.31000000000000005</v>
      </c>
      <c r="J15" s="193">
        <f t="shared" si="13"/>
        <v>0.31000000000000005</v>
      </c>
      <c r="K15" s="193">
        <f t="shared" si="13"/>
        <v>0.31000000000000005</v>
      </c>
      <c r="L15" s="193">
        <f t="shared" si="13"/>
        <v>0.31000000000000005</v>
      </c>
      <c r="M15" s="193">
        <f t="shared" si="12"/>
        <v>2.8440000460000006</v>
      </c>
    </row>
    <row r="16" spans="1:13" s="26" customFormat="1" ht="16" customHeight="1" x14ac:dyDescent="0.35">
      <c r="A16" s="30" t="s">
        <v>32</v>
      </c>
      <c r="B16" s="32">
        <v>0</v>
      </c>
      <c r="C16" s="32">
        <f>'koszty wynagrodzeń MKiŚ i UM'!L7</f>
        <v>0.58199999999999996</v>
      </c>
      <c r="D16" s="32">
        <f>'koszty wynagrodzeń MKiŚ i UM'!L8</f>
        <v>1.405</v>
      </c>
      <c r="E16" s="32">
        <f>'koszty wynagrodzeń MKiŚ i UM'!L9</f>
        <v>1.5229999999999999</v>
      </c>
      <c r="F16" s="32">
        <f t="shared" ref="F16:L16" si="14">E16</f>
        <v>1.5229999999999999</v>
      </c>
      <c r="G16" s="32">
        <f t="shared" si="14"/>
        <v>1.5229999999999999</v>
      </c>
      <c r="H16" s="32">
        <f t="shared" si="14"/>
        <v>1.5229999999999999</v>
      </c>
      <c r="I16" s="32">
        <f t="shared" si="14"/>
        <v>1.5229999999999999</v>
      </c>
      <c r="J16" s="32">
        <f t="shared" si="14"/>
        <v>1.5229999999999999</v>
      </c>
      <c r="K16" s="32">
        <f t="shared" si="14"/>
        <v>1.5229999999999999</v>
      </c>
      <c r="L16" s="32">
        <f t="shared" si="14"/>
        <v>1.5229999999999999</v>
      </c>
      <c r="M16" s="32">
        <f t="shared" si="12"/>
        <v>14.170999999999998</v>
      </c>
    </row>
    <row r="17" spans="1:13" s="26" customFormat="1" ht="16.5" customHeight="1" thickBot="1" x14ac:dyDescent="0.4">
      <c r="A17" s="128" t="s">
        <v>29</v>
      </c>
      <c r="B17" s="129">
        <v>0</v>
      </c>
      <c r="C17" s="129">
        <v>0</v>
      </c>
      <c r="D17" s="129">
        <v>0</v>
      </c>
      <c r="E17" s="129">
        <f>ROUND('Reguły wydatkowe'!B19/1000000,3)</f>
        <v>8.7390000000000008</v>
      </c>
      <c r="F17" s="129">
        <f>E17</f>
        <v>8.7390000000000008</v>
      </c>
      <c r="G17" s="129">
        <f>F17</f>
        <v>8.7390000000000008</v>
      </c>
      <c r="H17" s="129">
        <f t="shared" ref="H17:K17" si="15">G17</f>
        <v>8.7390000000000008</v>
      </c>
      <c r="I17" s="129">
        <f t="shared" si="15"/>
        <v>8.7390000000000008</v>
      </c>
      <c r="J17" s="129">
        <f t="shared" si="15"/>
        <v>8.7390000000000008</v>
      </c>
      <c r="K17" s="129">
        <f t="shared" si="15"/>
        <v>8.7390000000000008</v>
      </c>
      <c r="L17" s="129">
        <f t="shared" ref="L17" si="16">K17</f>
        <v>8.7390000000000008</v>
      </c>
      <c r="M17" s="129">
        <f t="shared" si="12"/>
        <v>69.91200000000002</v>
      </c>
    </row>
    <row r="18" spans="1:13" ht="15" thickBot="1" x14ac:dyDescent="0.4">
      <c r="A18" s="194" t="s">
        <v>5</v>
      </c>
      <c r="B18" s="212">
        <f t="shared" ref="B18:L18" si="17">SUM(B19:B21)</f>
        <v>0</v>
      </c>
      <c r="C18" s="212">
        <f t="shared" si="17"/>
        <v>3.3999999999999996E-2</v>
      </c>
      <c r="D18" s="212">
        <f t="shared" si="17"/>
        <v>3.7290000000000001</v>
      </c>
      <c r="E18" s="212">
        <f t="shared" si="17"/>
        <v>3.5370000000000004</v>
      </c>
      <c r="F18" s="212">
        <f t="shared" si="17"/>
        <v>3.4860000000000007</v>
      </c>
      <c r="G18" s="212">
        <f t="shared" si="17"/>
        <v>3.4860000000000007</v>
      </c>
      <c r="H18" s="212">
        <f t="shared" si="17"/>
        <v>3.4860000000000007</v>
      </c>
      <c r="I18" s="212">
        <f t="shared" si="17"/>
        <v>3.4860000000000007</v>
      </c>
      <c r="J18" s="212">
        <f t="shared" si="17"/>
        <v>3.4860000000000007</v>
      </c>
      <c r="K18" s="212">
        <f t="shared" si="17"/>
        <v>3.4860000000000007</v>
      </c>
      <c r="L18" s="212">
        <f t="shared" si="17"/>
        <v>3.4860000000000007</v>
      </c>
      <c r="M18" s="212">
        <f t="shared" si="12"/>
        <v>31.702000000000005</v>
      </c>
    </row>
    <row r="19" spans="1:13" ht="22" x14ac:dyDescent="0.35">
      <c r="A19" s="224" t="s">
        <v>33</v>
      </c>
      <c r="B19" s="130">
        <v>0</v>
      </c>
      <c r="C19" s="130">
        <v>0</v>
      </c>
      <c r="D19" s="130">
        <v>0.254</v>
      </c>
      <c r="E19" s="130">
        <v>0.127</v>
      </c>
      <c r="F19" s="130">
        <v>0.127</v>
      </c>
      <c r="G19" s="130">
        <v>0.127</v>
      </c>
      <c r="H19" s="130">
        <v>0.127</v>
      </c>
      <c r="I19" s="130">
        <v>0.127</v>
      </c>
      <c r="J19" s="130">
        <v>0.127</v>
      </c>
      <c r="K19" s="130">
        <v>0.127</v>
      </c>
      <c r="L19" s="130">
        <v>0.127</v>
      </c>
      <c r="M19" s="130">
        <f t="shared" si="12"/>
        <v>1.27</v>
      </c>
    </row>
    <row r="20" spans="1:13" ht="22" x14ac:dyDescent="0.35">
      <c r="A20" s="209" t="s">
        <v>83</v>
      </c>
      <c r="B20" s="210">
        <f>B14</f>
        <v>0</v>
      </c>
      <c r="C20" s="210">
        <f t="shared" ref="C20:L20" si="18">C14</f>
        <v>0</v>
      </c>
      <c r="D20" s="210">
        <f t="shared" si="18"/>
        <v>3.3730000000000002</v>
      </c>
      <c r="E20" s="210">
        <f t="shared" si="18"/>
        <v>3.3080000000000003</v>
      </c>
      <c r="F20" s="210">
        <f t="shared" si="18"/>
        <v>3.3080000000000003</v>
      </c>
      <c r="G20" s="210">
        <f t="shared" si="18"/>
        <v>3.3080000000000003</v>
      </c>
      <c r="H20" s="210">
        <f t="shared" si="18"/>
        <v>3.3080000000000003</v>
      </c>
      <c r="I20" s="210">
        <f t="shared" si="18"/>
        <v>3.3080000000000003</v>
      </c>
      <c r="J20" s="210">
        <f t="shared" si="18"/>
        <v>3.3080000000000003</v>
      </c>
      <c r="K20" s="210">
        <f t="shared" si="18"/>
        <v>3.3080000000000003</v>
      </c>
      <c r="L20" s="210">
        <f t="shared" si="18"/>
        <v>3.3080000000000003</v>
      </c>
      <c r="M20" s="211">
        <f t="shared" si="12"/>
        <v>29.837</v>
      </c>
    </row>
    <row r="21" spans="1:13" ht="28.5" customHeight="1" thickBot="1" x14ac:dyDescent="0.4">
      <c r="A21" s="131" t="s">
        <v>34</v>
      </c>
      <c r="B21" s="132">
        <v>0</v>
      </c>
      <c r="C21" s="132">
        <f>0.102/12*4</f>
        <v>3.3999999999999996E-2</v>
      </c>
      <c r="D21" s="132">
        <v>0.10199999999999999</v>
      </c>
      <c r="E21" s="132">
        <v>0.10199999999999999</v>
      </c>
      <c r="F21" s="132">
        <v>5.0999999999999997E-2</v>
      </c>
      <c r="G21" s="132">
        <v>5.0999999999999997E-2</v>
      </c>
      <c r="H21" s="132">
        <v>5.0999999999999997E-2</v>
      </c>
      <c r="I21" s="132">
        <v>5.0999999999999997E-2</v>
      </c>
      <c r="J21" s="132">
        <v>5.0999999999999997E-2</v>
      </c>
      <c r="K21" s="132">
        <v>5.0999999999999997E-2</v>
      </c>
      <c r="L21" s="132">
        <v>5.0999999999999997E-2</v>
      </c>
      <c r="M21" s="132">
        <f t="shared" si="12"/>
        <v>0.59499999999999997</v>
      </c>
    </row>
    <row r="22" spans="1:13" ht="27.5" thickBot="1" x14ac:dyDescent="0.4">
      <c r="A22" s="133" t="s">
        <v>28</v>
      </c>
      <c r="B22" s="115">
        <v>0</v>
      </c>
      <c r="C22" s="134">
        <v>0</v>
      </c>
      <c r="D22" s="134">
        <f>'Reguły wydatkowe'!H3</f>
        <v>0.83399999999999996</v>
      </c>
      <c r="E22" s="134">
        <f t="shared" ref="E22:H22" si="19">D22</f>
        <v>0.83399999999999996</v>
      </c>
      <c r="F22" s="134">
        <f t="shared" si="19"/>
        <v>0.83399999999999996</v>
      </c>
      <c r="G22" s="134">
        <f t="shared" si="19"/>
        <v>0.83399999999999996</v>
      </c>
      <c r="H22" s="134">
        <f t="shared" si="19"/>
        <v>0.83399999999999996</v>
      </c>
      <c r="I22" s="134">
        <f>H22</f>
        <v>0.83399999999999996</v>
      </c>
      <c r="J22" s="134">
        <f>'Reguły wydatkowe'!H9</f>
        <v>1.01</v>
      </c>
      <c r="K22" s="134">
        <f>I22</f>
        <v>0.83399999999999996</v>
      </c>
      <c r="L22" s="134">
        <v>0.83399999999999996</v>
      </c>
      <c r="M22" s="135">
        <f>SUM(C22:L22)</f>
        <v>7.6819999999999986</v>
      </c>
    </row>
    <row r="23" spans="1:13" ht="22.75" customHeight="1" thickBot="1" x14ac:dyDescent="0.4">
      <c r="A23" s="197" t="s">
        <v>14</v>
      </c>
      <c r="B23" s="109">
        <f t="shared" ref="B23:M23" si="20">SUM(B4-B12)</f>
        <v>0</v>
      </c>
      <c r="C23" s="109">
        <f t="shared" si="20"/>
        <v>-0.69400004599999998</v>
      </c>
      <c r="D23" s="109">
        <f t="shared" si="20"/>
        <v>-6.2539999999999987</v>
      </c>
      <c r="E23" s="109">
        <f t="shared" si="20"/>
        <v>-14.943000000000001</v>
      </c>
      <c r="F23" s="109">
        <f t="shared" si="20"/>
        <v>-14.891999999999999</v>
      </c>
      <c r="G23" s="109">
        <f t="shared" si="20"/>
        <v>-14.891999999999999</v>
      </c>
      <c r="H23" s="109">
        <f t="shared" si="20"/>
        <v>-13.18</v>
      </c>
      <c r="I23" s="109">
        <f t="shared" si="20"/>
        <v>-13.18</v>
      </c>
      <c r="J23" s="109">
        <f t="shared" si="20"/>
        <v>45.739000000000004</v>
      </c>
      <c r="K23" s="109">
        <f t="shared" si="20"/>
        <v>45.915000000000006</v>
      </c>
      <c r="L23" s="109">
        <f t="shared" si="20"/>
        <v>45.915000000000006</v>
      </c>
      <c r="M23" s="220">
        <f t="shared" si="20"/>
        <v>59.533999954000024</v>
      </c>
    </row>
    <row r="24" spans="1:13" ht="15" thickBot="1" x14ac:dyDescent="0.4">
      <c r="A24" s="213" t="s">
        <v>3</v>
      </c>
      <c r="B24" s="199">
        <f t="shared" ref="B24:M24" si="21">SUM(B5-B13)</f>
        <v>0</v>
      </c>
      <c r="C24" s="199">
        <f t="shared" si="21"/>
        <v>-0.66000004599999995</v>
      </c>
      <c r="D24" s="199">
        <f t="shared" si="21"/>
        <v>-5.0640000000000001</v>
      </c>
      <c r="E24" s="199">
        <f t="shared" si="21"/>
        <v>-13.88</v>
      </c>
      <c r="F24" s="199">
        <f t="shared" si="21"/>
        <v>-13.88</v>
      </c>
      <c r="G24" s="199">
        <f t="shared" si="21"/>
        <v>-13.88</v>
      </c>
      <c r="H24" s="199">
        <f t="shared" si="21"/>
        <v>-13.260000000000002</v>
      </c>
      <c r="I24" s="199">
        <f t="shared" si="21"/>
        <v>-13.260000000000002</v>
      </c>
      <c r="J24" s="199">
        <f t="shared" si="21"/>
        <v>-7.9600000000000009</v>
      </c>
      <c r="K24" s="199">
        <f t="shared" si="21"/>
        <v>-7.9600000000000009</v>
      </c>
      <c r="L24" s="199">
        <f t="shared" si="21"/>
        <v>-7.9600000000000009</v>
      </c>
      <c r="M24" s="217">
        <f t="shared" si="21"/>
        <v>-97.764000045999992</v>
      </c>
    </row>
    <row r="25" spans="1:13" ht="15" thickBot="1" x14ac:dyDescent="0.4">
      <c r="A25" s="214" t="s">
        <v>4</v>
      </c>
      <c r="B25" s="136">
        <f t="shared" ref="B25:M25" si="22">SUM(B8-B18)</f>
        <v>0</v>
      </c>
      <c r="C25" s="136">
        <f t="shared" si="22"/>
        <v>-3.3999999999999996E-2</v>
      </c>
      <c r="D25" s="136">
        <f t="shared" si="22"/>
        <v>-0.35599999999999987</v>
      </c>
      <c r="E25" s="136">
        <f t="shared" si="22"/>
        <v>-0.22900000000000009</v>
      </c>
      <c r="F25" s="136">
        <f t="shared" si="22"/>
        <v>-0.17800000000000038</v>
      </c>
      <c r="G25" s="136">
        <f t="shared" si="22"/>
        <v>-0.17800000000000038</v>
      </c>
      <c r="H25" s="136">
        <f t="shared" si="22"/>
        <v>0.47699999999999942</v>
      </c>
      <c r="I25" s="136">
        <f t="shared" si="22"/>
        <v>0.47699999999999942</v>
      </c>
      <c r="J25" s="136">
        <f t="shared" si="22"/>
        <v>32.754000000000005</v>
      </c>
      <c r="K25" s="136">
        <f t="shared" si="22"/>
        <v>32.754000000000005</v>
      </c>
      <c r="L25" s="136">
        <f t="shared" si="22"/>
        <v>32.754000000000005</v>
      </c>
      <c r="M25" s="137">
        <f t="shared" si="22"/>
        <v>98.241000000000014</v>
      </c>
    </row>
    <row r="26" spans="1:13" x14ac:dyDescent="0.35">
      <c r="A26" s="216" t="s">
        <v>35</v>
      </c>
      <c r="B26" s="130">
        <f>B9-B19-B20</f>
        <v>0</v>
      </c>
      <c r="C26" s="130">
        <f t="shared" ref="C26:L26" si="23">C9-C19-C20</f>
        <v>0</v>
      </c>
      <c r="D26" s="130">
        <f t="shared" si="23"/>
        <v>-0.254</v>
      </c>
      <c r="E26" s="130">
        <f t="shared" si="23"/>
        <v>-0.12700000000000022</v>
      </c>
      <c r="F26" s="130">
        <f t="shared" si="23"/>
        <v>-0.12700000000000022</v>
      </c>
      <c r="G26" s="130">
        <f t="shared" si="23"/>
        <v>-0.12700000000000022</v>
      </c>
      <c r="H26" s="130">
        <f t="shared" si="23"/>
        <v>-0.12700000000000022</v>
      </c>
      <c r="I26" s="130">
        <f t="shared" si="23"/>
        <v>-0.12700000000000022</v>
      </c>
      <c r="J26" s="130">
        <f t="shared" si="23"/>
        <v>-0.12700000000000022</v>
      </c>
      <c r="K26" s="130">
        <f t="shared" si="23"/>
        <v>-0.12700000000000022</v>
      </c>
      <c r="L26" s="130">
        <f t="shared" si="23"/>
        <v>-0.12700000000000022</v>
      </c>
      <c r="M26" s="130">
        <f>SUM(B26:L26)</f>
        <v>-1.2700000000000018</v>
      </c>
    </row>
    <row r="27" spans="1:13" ht="15" thickBot="1" x14ac:dyDescent="0.4">
      <c r="A27" s="215" t="s">
        <v>36</v>
      </c>
      <c r="B27" s="132">
        <f t="shared" ref="B27:L27" si="24">B10-B21</f>
        <v>0</v>
      </c>
      <c r="C27" s="132">
        <f t="shared" si="24"/>
        <v>-3.3999999999999996E-2</v>
      </c>
      <c r="D27" s="132">
        <f t="shared" si="24"/>
        <v>-0.10199999999999999</v>
      </c>
      <c r="E27" s="132">
        <f t="shared" si="24"/>
        <v>-0.10199999999999999</v>
      </c>
      <c r="F27" s="132">
        <f t="shared" si="24"/>
        <v>-5.0999999999999997E-2</v>
      </c>
      <c r="G27" s="132">
        <f t="shared" si="24"/>
        <v>-5.0999999999999997E-2</v>
      </c>
      <c r="H27" s="132">
        <f t="shared" si="24"/>
        <v>0.60399999999999998</v>
      </c>
      <c r="I27" s="132">
        <f t="shared" si="24"/>
        <v>0.60399999999999998</v>
      </c>
      <c r="J27" s="132">
        <f t="shared" si="24"/>
        <v>32.881</v>
      </c>
      <c r="K27" s="132">
        <f t="shared" si="24"/>
        <v>32.881</v>
      </c>
      <c r="L27" s="132">
        <f t="shared" si="24"/>
        <v>32.881</v>
      </c>
      <c r="M27" s="132">
        <f>SUM(B27:L27)</f>
        <v>99.510999999999996</v>
      </c>
    </row>
    <row r="28" spans="1:13" ht="54.5" thickBot="1" x14ac:dyDescent="0.4">
      <c r="A28" s="138" t="s">
        <v>75</v>
      </c>
      <c r="B28" s="134">
        <v>0</v>
      </c>
      <c r="C28" s="134">
        <f t="shared" ref="C28:M28" si="25">SUM(C11-C22)</f>
        <v>0</v>
      </c>
      <c r="D28" s="134">
        <f t="shared" si="25"/>
        <v>-0.83399999999999996</v>
      </c>
      <c r="E28" s="134">
        <f t="shared" si="25"/>
        <v>-0.83399999999999996</v>
      </c>
      <c r="F28" s="134">
        <f t="shared" si="25"/>
        <v>-0.83399999999999996</v>
      </c>
      <c r="G28" s="134">
        <f t="shared" si="25"/>
        <v>-0.83399999999999996</v>
      </c>
      <c r="H28" s="134">
        <f t="shared" si="25"/>
        <v>-0.39699999999999996</v>
      </c>
      <c r="I28" s="134">
        <f t="shared" si="25"/>
        <v>-0.39699999999999996</v>
      </c>
      <c r="J28" s="134">
        <f t="shared" si="25"/>
        <v>20.944999999999997</v>
      </c>
      <c r="K28" s="134">
        <f t="shared" si="25"/>
        <v>21.120999999999999</v>
      </c>
      <c r="L28" s="134">
        <f t="shared" si="25"/>
        <v>21.120999999999999</v>
      </c>
      <c r="M28" s="135">
        <f t="shared" si="25"/>
        <v>59.056999999999988</v>
      </c>
    </row>
    <row r="31" spans="1:13" ht="15.5" x14ac:dyDescent="0.35">
      <c r="A31" s="54"/>
      <c r="B31" s="52"/>
    </row>
    <row r="32" spans="1:13" x14ac:dyDescent="0.35">
      <c r="A32" s="54"/>
      <c r="B32" s="55"/>
    </row>
    <row r="33" spans="1:2" x14ac:dyDescent="0.35">
      <c r="A33" s="54"/>
      <c r="B33" s="55"/>
    </row>
    <row r="34" spans="1:2" x14ac:dyDescent="0.35">
      <c r="A34" s="54"/>
      <c r="B34" s="55"/>
    </row>
    <row r="35" spans="1:2" x14ac:dyDescent="0.35">
      <c r="A35" s="54"/>
      <c r="B35" s="55"/>
    </row>
    <row r="36" spans="1:2" x14ac:dyDescent="0.35">
      <c r="A36" s="54"/>
      <c r="B36" s="55"/>
    </row>
    <row r="37" spans="1:2" x14ac:dyDescent="0.35">
      <c r="A37" s="54"/>
      <c r="B37" s="55"/>
    </row>
    <row r="38" spans="1:2" x14ac:dyDescent="0.35">
      <c r="A38" s="54"/>
      <c r="B38" s="55"/>
    </row>
    <row r="39" spans="1:2" x14ac:dyDescent="0.35">
      <c r="A39" s="54"/>
      <c r="B39" s="55"/>
    </row>
    <row r="40" spans="1:2" x14ac:dyDescent="0.35">
      <c r="A40" s="54"/>
      <c r="B40" s="55"/>
    </row>
    <row r="41" spans="1:2" x14ac:dyDescent="0.35">
      <c r="A41" s="54"/>
      <c r="B41" s="55"/>
    </row>
    <row r="42" spans="1:2" ht="15.5" x14ac:dyDescent="0.35">
      <c r="A42" s="53"/>
    </row>
    <row r="43" spans="1:2" x14ac:dyDescent="0.35">
      <c r="A43" s="54"/>
    </row>
  </sheetData>
  <mergeCells count="2">
    <mergeCell ref="A2:A3"/>
    <mergeCell ref="B2:M2"/>
  </mergeCells>
  <phoneticPr fontId="19" type="noConversion"/>
  <pageMargins left="0.25" right="0.25" top="0.75" bottom="0.75" header="0.3" footer="0.3"/>
  <pageSetup paperSize="9" scale="76" orientation="landscape" r:id="rId1"/>
  <ignoredErrors>
    <ignoredError sqref="M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C4A3-48A2-40AF-A383-41C79E9CC668}">
  <dimension ref="A1:K27"/>
  <sheetViews>
    <sheetView workbookViewId="0">
      <selection activeCell="E19" sqref="E19"/>
    </sheetView>
  </sheetViews>
  <sheetFormatPr defaultRowHeight="14.5" x14ac:dyDescent="0.35"/>
  <cols>
    <col min="1" max="1" width="12.81640625" style="1" customWidth="1"/>
    <col min="2" max="2" width="17.1796875" customWidth="1"/>
    <col min="3" max="3" width="4.6328125" customWidth="1"/>
    <col min="4" max="4" width="11.81640625" style="50" customWidth="1"/>
    <col min="5" max="5" width="18.08984375" customWidth="1"/>
    <col min="6" max="6" width="4.6328125" customWidth="1"/>
    <col min="7" max="7" width="10.36328125" style="50" customWidth="1"/>
    <col min="8" max="8" width="11.6328125" style="50" customWidth="1"/>
    <col min="9" max="9" width="25.81640625" customWidth="1"/>
    <col min="10" max="10" width="12.81640625" customWidth="1"/>
    <col min="11" max="11" width="12.81640625" bestFit="1" customWidth="1"/>
  </cols>
  <sheetData>
    <row r="1" spans="1:11" s="56" customFormat="1" ht="53" customHeight="1" x14ac:dyDescent="0.35">
      <c r="A1" s="59" t="s">
        <v>96</v>
      </c>
      <c r="B1" s="67" t="s">
        <v>64</v>
      </c>
      <c r="D1" s="59" t="s">
        <v>97</v>
      </c>
      <c r="E1" s="62" t="s">
        <v>63</v>
      </c>
      <c r="G1" s="59" t="s">
        <v>98</v>
      </c>
      <c r="H1" s="65" t="s">
        <v>62</v>
      </c>
      <c r="I1" s="243"/>
      <c r="J1" s="56" t="s">
        <v>73</v>
      </c>
    </row>
    <row r="2" spans="1:11" ht="15.5" x14ac:dyDescent="0.35">
      <c r="A2" s="60" t="s">
        <v>48</v>
      </c>
      <c r="B2" s="103">
        <f>ROUND(B18,-3)</f>
        <v>8739000</v>
      </c>
      <c r="C2" s="58"/>
      <c r="D2" s="63" t="s">
        <v>59</v>
      </c>
      <c r="E2" s="105">
        <f>'pkt 6 OSR tabela_rozwinięcie'!B20</f>
        <v>0</v>
      </c>
      <c r="F2" s="58"/>
      <c r="G2" s="63" t="s">
        <v>59</v>
      </c>
      <c r="H2" s="66">
        <v>0</v>
      </c>
      <c r="I2" s="57"/>
      <c r="J2" s="50">
        <v>2022</v>
      </c>
      <c r="K2" s="244">
        <v>733000</v>
      </c>
    </row>
    <row r="3" spans="1:11" ht="15.5" x14ac:dyDescent="0.35">
      <c r="A3" s="60" t="s">
        <v>49</v>
      </c>
      <c r="B3" s="103">
        <f>B2</f>
        <v>8739000</v>
      </c>
      <c r="C3" s="58"/>
      <c r="D3" s="63" t="s">
        <v>60</v>
      </c>
      <c r="E3" s="105">
        <f>'pkt 6 OSR tabela_rozwinięcie'!C20</f>
        <v>0</v>
      </c>
      <c r="F3" s="58"/>
      <c r="G3" s="63" t="s">
        <v>60</v>
      </c>
      <c r="H3" s="107">
        <f>ROUND(K4/1000000,3)</f>
        <v>0.83399999999999996</v>
      </c>
      <c r="I3" s="57"/>
      <c r="J3" s="50" t="s">
        <v>74</v>
      </c>
      <c r="K3" s="85">
        <v>0.13800000000000001</v>
      </c>
    </row>
    <row r="4" spans="1:11" ht="15.5" x14ac:dyDescent="0.35">
      <c r="A4" s="60" t="s">
        <v>50</v>
      </c>
      <c r="B4" s="103">
        <f>B3</f>
        <v>8739000</v>
      </c>
      <c r="C4" s="58"/>
      <c r="D4" s="63" t="s">
        <v>61</v>
      </c>
      <c r="E4" s="105">
        <f>'pkt 6 OSR tabela_rozwinięcie'!D20</f>
        <v>3.3730000000000002</v>
      </c>
      <c r="F4" s="58"/>
      <c r="G4" s="63" t="s">
        <v>61</v>
      </c>
      <c r="H4" s="107">
        <f>H3</f>
        <v>0.83399999999999996</v>
      </c>
      <c r="I4" s="57"/>
      <c r="J4" s="50">
        <v>2023</v>
      </c>
      <c r="K4" s="244">
        <f>K2+K3*K2</f>
        <v>834154</v>
      </c>
    </row>
    <row r="5" spans="1:11" ht="15.5" x14ac:dyDescent="0.35">
      <c r="A5" s="60" t="s">
        <v>51</v>
      </c>
      <c r="B5" s="103">
        <f t="shared" ref="B5:B11" si="0">B4</f>
        <v>8739000</v>
      </c>
      <c r="C5" s="58"/>
      <c r="D5" s="63" t="s">
        <v>48</v>
      </c>
      <c r="E5" s="105">
        <f>'pkt 6 OSR tabela_rozwinięcie'!E20</f>
        <v>3.3080000000000003</v>
      </c>
      <c r="F5" s="58"/>
      <c r="G5" s="63" t="s">
        <v>48</v>
      </c>
      <c r="H5" s="107">
        <f t="shared" ref="H5:H8" si="1">H4</f>
        <v>0.83399999999999996</v>
      </c>
      <c r="I5" s="57"/>
      <c r="K5" s="82"/>
    </row>
    <row r="6" spans="1:11" ht="15.5" x14ac:dyDescent="0.35">
      <c r="A6" s="60" t="s">
        <v>52</v>
      </c>
      <c r="B6" s="103">
        <f t="shared" si="0"/>
        <v>8739000</v>
      </c>
      <c r="C6" s="58"/>
      <c r="D6" s="63" t="s">
        <v>49</v>
      </c>
      <c r="E6" s="105">
        <f>E5</f>
        <v>3.3080000000000003</v>
      </c>
      <c r="F6" s="58"/>
      <c r="G6" s="63" t="s">
        <v>49</v>
      </c>
      <c r="H6" s="107">
        <f t="shared" si="1"/>
        <v>0.83399999999999996</v>
      </c>
      <c r="I6" s="57"/>
    </row>
    <row r="7" spans="1:11" ht="15.5" x14ac:dyDescent="0.35">
      <c r="A7" s="60" t="s">
        <v>53</v>
      </c>
      <c r="B7" s="103">
        <f t="shared" si="0"/>
        <v>8739000</v>
      </c>
      <c r="C7" s="58"/>
      <c r="D7" s="63" t="s">
        <v>50</v>
      </c>
      <c r="E7" s="105">
        <f t="shared" ref="E7:E11" si="2">E6</f>
        <v>3.3080000000000003</v>
      </c>
      <c r="F7" s="58"/>
      <c r="G7" s="63" t="s">
        <v>50</v>
      </c>
      <c r="H7" s="107">
        <f t="shared" si="1"/>
        <v>0.83399999999999996</v>
      </c>
      <c r="I7" s="57"/>
    </row>
    <row r="8" spans="1:11" ht="15.5" x14ac:dyDescent="0.35">
      <c r="A8" s="60" t="s">
        <v>54</v>
      </c>
      <c r="B8" s="103">
        <f t="shared" si="0"/>
        <v>8739000</v>
      </c>
      <c r="C8" s="58"/>
      <c r="D8" s="63" t="s">
        <v>51</v>
      </c>
      <c r="E8" s="105">
        <f t="shared" si="2"/>
        <v>3.3080000000000003</v>
      </c>
      <c r="F8" s="58"/>
      <c r="G8" s="63" t="s">
        <v>51</v>
      </c>
      <c r="H8" s="107">
        <f t="shared" si="1"/>
        <v>0.83399999999999996</v>
      </c>
      <c r="I8" s="57"/>
    </row>
    <row r="9" spans="1:11" ht="15.5" x14ac:dyDescent="0.35">
      <c r="A9" s="60" t="s">
        <v>55</v>
      </c>
      <c r="B9" s="103">
        <f t="shared" si="0"/>
        <v>8739000</v>
      </c>
      <c r="C9" s="58"/>
      <c r="D9" s="63" t="s">
        <v>52</v>
      </c>
      <c r="E9" s="105">
        <f t="shared" si="2"/>
        <v>3.3080000000000003</v>
      </c>
      <c r="F9" s="58"/>
      <c r="G9" s="83" t="s">
        <v>52</v>
      </c>
      <c r="H9" s="84">
        <v>1.01</v>
      </c>
      <c r="I9" s="57"/>
    </row>
    <row r="10" spans="1:11" ht="15.5" x14ac:dyDescent="0.35">
      <c r="A10" s="60" t="s">
        <v>56</v>
      </c>
      <c r="B10" s="103">
        <f t="shared" si="0"/>
        <v>8739000</v>
      </c>
      <c r="C10" s="58"/>
      <c r="D10" s="63" t="s">
        <v>53</v>
      </c>
      <c r="E10" s="105">
        <f t="shared" si="2"/>
        <v>3.3080000000000003</v>
      </c>
      <c r="F10" s="58"/>
      <c r="G10" s="63" t="s">
        <v>53</v>
      </c>
      <c r="H10" s="107">
        <f>H8</f>
        <v>0.83399999999999996</v>
      </c>
      <c r="I10" s="57"/>
    </row>
    <row r="11" spans="1:11" ht="15.5" x14ac:dyDescent="0.35">
      <c r="A11" s="60" t="s">
        <v>57</v>
      </c>
      <c r="B11" s="103">
        <f t="shared" si="0"/>
        <v>8739000</v>
      </c>
      <c r="C11" s="58"/>
      <c r="D11" s="63" t="s">
        <v>54</v>
      </c>
      <c r="E11" s="105">
        <f t="shared" si="2"/>
        <v>3.3080000000000003</v>
      </c>
      <c r="F11" s="58"/>
      <c r="G11" s="63" t="s">
        <v>54</v>
      </c>
      <c r="H11" s="107">
        <f>H8</f>
        <v>0.83399999999999996</v>
      </c>
      <c r="I11" s="57"/>
    </row>
    <row r="12" spans="1:11" x14ac:dyDescent="0.35">
      <c r="A12" s="86"/>
      <c r="B12" s="87"/>
      <c r="C12" s="58"/>
      <c r="D12" s="88" t="s">
        <v>55</v>
      </c>
      <c r="E12" s="89">
        <f>E11</f>
        <v>3.3080000000000003</v>
      </c>
      <c r="F12" s="58"/>
      <c r="G12" s="90">
        <v>2032</v>
      </c>
      <c r="H12" s="91">
        <v>0.83399999999999996</v>
      </c>
      <c r="I12" s="245"/>
      <c r="J12" s="247"/>
      <c r="K12" s="93"/>
    </row>
    <row r="13" spans="1:11" ht="15" thickBot="1" x14ac:dyDescent="0.4">
      <c r="A13" s="61" t="s">
        <v>58</v>
      </c>
      <c r="B13" s="104">
        <f>SUM(B2:B11)</f>
        <v>87390000</v>
      </c>
      <c r="C13" s="58"/>
      <c r="D13" s="64" t="s">
        <v>58</v>
      </c>
      <c r="E13" s="106">
        <f>SUM(E2:E12)</f>
        <v>29.837</v>
      </c>
      <c r="F13" s="58"/>
      <c r="G13" s="64" t="s">
        <v>58</v>
      </c>
      <c r="H13" s="92">
        <v>8.516</v>
      </c>
      <c r="I13" s="246"/>
      <c r="J13" s="248"/>
    </row>
    <row r="14" spans="1:11" x14ac:dyDescent="0.35">
      <c r="B14" s="249"/>
      <c r="C14" s="248"/>
      <c r="E14" s="250"/>
      <c r="F14" s="248"/>
    </row>
    <row r="15" spans="1:11" s="55" customFormat="1" ht="23.5" x14ac:dyDescent="0.3">
      <c r="A15" s="70" t="s">
        <v>66</v>
      </c>
      <c r="B15" s="71">
        <v>8059008</v>
      </c>
      <c r="D15" s="68" t="s">
        <v>65</v>
      </c>
      <c r="G15" s="69"/>
      <c r="H15" s="69"/>
    </row>
    <row r="16" spans="1:11" ht="47" x14ac:dyDescent="0.35">
      <c r="A16" s="70" t="s">
        <v>67</v>
      </c>
      <c r="B16" s="72">
        <v>8.4400000000000003E-2</v>
      </c>
    </row>
    <row r="17" spans="1:4" x14ac:dyDescent="0.35">
      <c r="A17" s="70"/>
      <c r="B17" s="73">
        <f>B15*B16</f>
        <v>680180.27520000003</v>
      </c>
    </row>
    <row r="18" spans="1:4" x14ac:dyDescent="0.35">
      <c r="A18" s="70" t="s">
        <v>68</v>
      </c>
      <c r="B18" s="73">
        <f>B15+B17</f>
        <v>8739188.2752</v>
      </c>
    </row>
    <row r="19" spans="1:4" ht="35.5" x14ac:dyDescent="0.35">
      <c r="A19" s="70" t="s">
        <v>69</v>
      </c>
      <c r="B19" s="73">
        <f>ROUND(B18,-3)</f>
        <v>8739000</v>
      </c>
    </row>
    <row r="21" spans="1:4" x14ac:dyDescent="0.35">
      <c r="A21" s="1" t="s">
        <v>70</v>
      </c>
    </row>
    <row r="22" spans="1:4" x14ac:dyDescent="0.35">
      <c r="A22" s="76">
        <v>1873.84</v>
      </c>
      <c r="B22" s="77">
        <v>2018</v>
      </c>
      <c r="C22" s="77"/>
      <c r="D22" s="69"/>
    </row>
    <row r="23" spans="1:4" x14ac:dyDescent="0.35">
      <c r="A23" s="76">
        <v>1916.94</v>
      </c>
      <c r="B23" s="77">
        <v>2019</v>
      </c>
      <c r="C23" s="78">
        <v>2.3E-2</v>
      </c>
      <c r="D23" s="74"/>
    </row>
    <row r="24" spans="1:4" x14ac:dyDescent="0.35">
      <c r="A24" s="76">
        <v>2031.96</v>
      </c>
      <c r="B24" s="77">
        <v>2020</v>
      </c>
      <c r="C24" s="79">
        <v>0.06</v>
      </c>
      <c r="D24" s="75"/>
    </row>
    <row r="25" spans="1:4" x14ac:dyDescent="0.35">
      <c r="A25"/>
      <c r="B25" s="55"/>
      <c r="C25" s="55"/>
      <c r="D25" s="69"/>
    </row>
    <row r="26" spans="1:4" x14ac:dyDescent="0.35">
      <c r="A26" s="80">
        <f>A24-A22</f>
        <v>158.12000000000012</v>
      </c>
      <c r="B26" s="80" t="s">
        <v>71</v>
      </c>
    </row>
    <row r="27" spans="1:4" x14ac:dyDescent="0.35">
      <c r="A27" s="81">
        <f>A26/A22*100%</f>
        <v>8.438287153652399E-2</v>
      </c>
      <c r="B27" s="55" t="s">
        <v>72</v>
      </c>
    </row>
  </sheetData>
  <phoneticPr fontId="19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koszty wynagrodzeń MKiŚ i UM</vt:lpstr>
      <vt:lpstr>pkt 6 OSR tabela_rozwinięcie</vt:lpstr>
      <vt:lpstr>Reguły wydatkowe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KROPIŃSKI Piotr</dc:creator>
  <cp:lastModifiedBy>PIĄTKOWSKA Magdalena</cp:lastModifiedBy>
  <cp:lastPrinted>2022-05-12T15:16:09Z</cp:lastPrinted>
  <dcterms:created xsi:type="dcterms:W3CDTF">2015-06-05T18:19:34Z</dcterms:created>
  <dcterms:modified xsi:type="dcterms:W3CDTF">2022-05-13T17:38:53Z</dcterms:modified>
</cp:coreProperties>
</file>