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8_{BD775BF8-3392-481F-8C36-43D3BC32176F}" xr6:coauthVersionLast="47" xr6:coauthVersionMax="47" xr10:uidLastSave="{00000000-0000-0000-0000-000000000000}"/>
  <bookViews>
    <workbookView xWindow="-120" yWindow="-120" windowWidth="29040" windowHeight="15720" tabRatio="994" activeTab="1" xr2:uid="{F56D3AD5-CFFC-4685-884F-7A304CEAAF71}"/>
  </bookViews>
  <sheets>
    <sheet name="Kalkulacja kosztów do OSR" sheetId="1" r:id="rId1"/>
    <sheet name="Pracochłonność etatów MKiŚ-MRiT" sheetId="2" r:id="rId2"/>
    <sheet name="Centrum Analiz Surowcowych  " sheetId="3" r:id="rId3"/>
    <sheet name="Wyliczenia do OSR SUMA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15" i="1"/>
  <c r="G11" i="1"/>
  <c r="G9" i="1"/>
  <c r="G8" i="1"/>
  <c r="G6" i="1"/>
  <c r="C7" i="7"/>
  <c r="D7" i="7"/>
  <c r="E7" i="7"/>
  <c r="F7" i="7"/>
  <c r="G7" i="7"/>
  <c r="H7" i="7"/>
  <c r="I7" i="7"/>
  <c r="J7" i="7"/>
  <c r="K7" i="7"/>
  <c r="L7" i="7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0" i="2"/>
  <c r="F6" i="2"/>
  <c r="G12" i="1"/>
  <c r="G14" i="1"/>
  <c r="G13" i="1"/>
  <c r="C10" i="3"/>
  <c r="D10" i="3" s="1"/>
  <c r="E10" i="3" s="1"/>
  <c r="F10" i="3" s="1"/>
  <c r="G10" i="3" s="1"/>
  <c r="H10" i="3" s="1"/>
  <c r="I10" i="3" s="1"/>
  <c r="J10" i="3" s="1"/>
  <c r="K10" i="3" s="1"/>
  <c r="C4" i="3"/>
  <c r="D4" i="3" s="1"/>
  <c r="B12" i="3"/>
  <c r="F2" i="2"/>
  <c r="G2" i="2" s="1"/>
  <c r="F3" i="2"/>
  <c r="F4" i="2"/>
  <c r="F5" i="2"/>
  <c r="F7" i="2"/>
  <c r="F8" i="2"/>
  <c r="F9" i="2"/>
  <c r="F10" i="2"/>
  <c r="F11" i="2"/>
  <c r="F12" i="2"/>
  <c r="F13" i="2"/>
  <c r="F14" i="2"/>
  <c r="F15" i="2"/>
  <c r="F16" i="2"/>
  <c r="F17" i="2"/>
  <c r="F18" i="2"/>
  <c r="G18" i="2" s="1"/>
  <c r="F19" i="2"/>
  <c r="G19" i="2" s="1"/>
  <c r="F20" i="2"/>
  <c r="F6" i="1"/>
  <c r="H6" i="1"/>
  <c r="I6" i="1" s="1"/>
  <c r="J6" i="1" s="1"/>
  <c r="K6" i="1" s="1"/>
  <c r="L6" i="1" s="1"/>
  <c r="M6" i="1" s="1"/>
  <c r="N6" i="1" s="1"/>
  <c r="O6" i="1" s="1"/>
  <c r="P6" i="1" s="1"/>
  <c r="P15" i="1"/>
  <c r="P16" i="1"/>
  <c r="P17" i="1"/>
  <c r="P18" i="1"/>
  <c r="P19" i="1"/>
  <c r="P20" i="1"/>
  <c r="P21" i="1"/>
  <c r="G21" i="1"/>
  <c r="M7" i="7" l="1"/>
  <c r="C12" i="3"/>
  <c r="E4" i="3"/>
  <c r="E12" i="3" s="1"/>
  <c r="D12" i="3"/>
  <c r="H21" i="1"/>
  <c r="H20" i="1"/>
  <c r="I20" i="1" s="1"/>
  <c r="G20" i="1"/>
  <c r="H19" i="1"/>
  <c r="I19" i="1" s="1"/>
  <c r="G19" i="1"/>
  <c r="G18" i="1"/>
  <c r="F21" i="1"/>
  <c r="F20" i="1"/>
  <c r="F19" i="1"/>
  <c r="F4" i="3" l="1"/>
  <c r="I21" i="1"/>
  <c r="J20" i="1"/>
  <c r="J19" i="1"/>
  <c r="G4" i="3" l="1"/>
  <c r="F12" i="3"/>
  <c r="J21" i="1"/>
  <c r="K20" i="1"/>
  <c r="K19" i="1"/>
  <c r="C15" i="1"/>
  <c r="H4" i="3" l="1"/>
  <c r="I4" i="3" s="1"/>
  <c r="G12" i="3"/>
  <c r="K21" i="1"/>
  <c r="L20" i="1"/>
  <c r="L19" i="1"/>
  <c r="C12" i="1"/>
  <c r="H18" i="1"/>
  <c r="I18" i="1" s="1"/>
  <c r="J18" i="1" s="1"/>
  <c r="K18" i="1" s="1"/>
  <c r="L18" i="1" s="1"/>
  <c r="M18" i="1" s="1"/>
  <c r="N18" i="1" s="1"/>
  <c r="O18" i="1" s="1"/>
  <c r="F18" i="1"/>
  <c r="G17" i="1"/>
  <c r="H17" i="1" s="1"/>
  <c r="I17" i="1" s="1"/>
  <c r="J17" i="1" s="1"/>
  <c r="K17" i="1" s="1"/>
  <c r="L17" i="1" s="1"/>
  <c r="M17" i="1" s="1"/>
  <c r="N17" i="1" s="1"/>
  <c r="O17" i="1" s="1"/>
  <c r="F17" i="1"/>
  <c r="G16" i="1"/>
  <c r="H16" i="1" s="1"/>
  <c r="I16" i="1" s="1"/>
  <c r="J16" i="1" s="1"/>
  <c r="K16" i="1" s="1"/>
  <c r="L16" i="1" s="1"/>
  <c r="M16" i="1" s="1"/>
  <c r="N16" i="1" s="1"/>
  <c r="O16" i="1" s="1"/>
  <c r="F16" i="1"/>
  <c r="H15" i="1"/>
  <c r="I15" i="1" s="1"/>
  <c r="J15" i="1" s="1"/>
  <c r="K15" i="1" s="1"/>
  <c r="L15" i="1" s="1"/>
  <c r="M15" i="1" s="1"/>
  <c r="N15" i="1" s="1"/>
  <c r="O15" i="1" s="1"/>
  <c r="F15" i="1"/>
  <c r="H14" i="1"/>
  <c r="I14" i="1" s="1"/>
  <c r="J14" i="1" s="1"/>
  <c r="K14" i="1" s="1"/>
  <c r="L14" i="1" s="1"/>
  <c r="M14" i="1" s="1"/>
  <c r="N14" i="1" s="1"/>
  <c r="O14" i="1" s="1"/>
  <c r="P14" i="1" s="1"/>
  <c r="I13" i="1"/>
  <c r="J13" i="1" s="1"/>
  <c r="K13" i="1" s="1"/>
  <c r="L13" i="1" s="1"/>
  <c r="M13" i="1" s="1"/>
  <c r="N13" i="1" s="1"/>
  <c r="O13" i="1" s="1"/>
  <c r="P13" i="1" s="1"/>
  <c r="H7" i="1"/>
  <c r="H11" i="1"/>
  <c r="I11" i="1" s="1"/>
  <c r="J11" i="1" s="1"/>
  <c r="K11" i="1" s="1"/>
  <c r="L11" i="1" s="1"/>
  <c r="M11" i="1" s="1"/>
  <c r="N11" i="1" s="1"/>
  <c r="O11" i="1" s="1"/>
  <c r="P11" i="1" s="1"/>
  <c r="H12" i="3" l="1"/>
  <c r="G7" i="1"/>
  <c r="L21" i="1"/>
  <c r="M20" i="1"/>
  <c r="M19" i="1"/>
  <c r="H9" i="1"/>
  <c r="F8" i="1"/>
  <c r="F9" i="1"/>
  <c r="F10" i="1"/>
  <c r="J4" i="3" l="1"/>
  <c r="I12" i="3"/>
  <c r="F22" i="1"/>
  <c r="M21" i="1"/>
  <c r="N20" i="1"/>
  <c r="N19" i="1"/>
  <c r="H10" i="1"/>
  <c r="I7" i="1"/>
  <c r="H8" i="1"/>
  <c r="G10" i="1"/>
  <c r="K4" i="3" l="1"/>
  <c r="K12" i="3" s="1"/>
  <c r="J12" i="3"/>
  <c r="H22" i="1"/>
  <c r="G22" i="1"/>
  <c r="N21" i="1"/>
  <c r="O20" i="1"/>
  <c r="O19" i="1"/>
  <c r="I9" i="1"/>
  <c r="J7" i="1"/>
  <c r="I8" i="1"/>
  <c r="I10" i="1"/>
  <c r="I22" i="1" l="1"/>
  <c r="O21" i="1"/>
  <c r="J8" i="1"/>
  <c r="K7" i="1"/>
  <c r="J10" i="1"/>
  <c r="J9" i="1"/>
  <c r="J22" i="1" l="1"/>
  <c r="K9" i="1"/>
  <c r="K10" i="1"/>
  <c r="K8" i="1"/>
  <c r="L7" i="1"/>
  <c r="K22" i="1" l="1"/>
  <c r="L9" i="1"/>
  <c r="M7" i="1"/>
  <c r="L8" i="1"/>
  <c r="L10" i="1"/>
  <c r="L22" i="1" l="1"/>
  <c r="N7" i="1"/>
  <c r="M9" i="1"/>
  <c r="M10" i="1"/>
  <c r="M8" i="1"/>
  <c r="O7" i="1"/>
  <c r="M22" i="1" l="1"/>
  <c r="N8" i="1"/>
  <c r="N10" i="1"/>
  <c r="N9" i="1"/>
  <c r="N22" i="1" l="1"/>
  <c r="P7" i="1"/>
  <c r="O9" i="1"/>
  <c r="O10" i="1"/>
  <c r="O8" i="1"/>
  <c r="O22" i="1" l="1"/>
  <c r="P8" i="1"/>
  <c r="P10" i="1"/>
  <c r="P9" i="1"/>
  <c r="P22" i="1" l="1"/>
</calcChain>
</file>

<file path=xl/sharedStrings.xml><?xml version="1.0" encoding="utf-8"?>
<sst xmlns="http://schemas.openxmlformats.org/spreadsheetml/2006/main" count="191" uniqueCount="127">
  <si>
    <t xml:space="preserve">wynagrodzenie zasadnicze </t>
  </si>
  <si>
    <t xml:space="preserve">Nazwa </t>
  </si>
  <si>
    <t>DWR</t>
  </si>
  <si>
    <t>ZUS</t>
  </si>
  <si>
    <t>FP</t>
  </si>
  <si>
    <t>PPK</t>
  </si>
  <si>
    <t>ZFŚS</t>
  </si>
  <si>
    <t>odpady komunalne</t>
  </si>
  <si>
    <t>podatek od nieruchomości</t>
  </si>
  <si>
    <t>remonty</t>
  </si>
  <si>
    <t>liczba etatów</t>
  </si>
  <si>
    <t>4010/4020</t>
  </si>
  <si>
    <t>liczba m-cy</t>
  </si>
  <si>
    <t>Kwota</t>
  </si>
  <si>
    <t>%, zł</t>
  </si>
  <si>
    <t>oprogramowanie</t>
  </si>
  <si>
    <t xml:space="preserve">laptop,stacja dokująca, monitor, mysz, klawiatura -  wydatki jednorazowe </t>
  </si>
  <si>
    <t>biurko, fotel, szafa, regał, ar.biurowe, wieszak - wydatek jednorazowy</t>
  </si>
  <si>
    <t>koszty utrzymania: energia, ciepło, sprzątanie, prace gospodarcze, ochrona, etc.</t>
  </si>
  <si>
    <t>delegacje krajowe</t>
  </si>
  <si>
    <t>delegacje zagraniczne</t>
  </si>
  <si>
    <t>świadczenia na rzecz osób fizycznych</t>
  </si>
  <si>
    <t xml:space="preserve"> </t>
  </si>
  <si>
    <t xml:space="preserve">Kalkulacja kosztów zatrudnienia 5 etatów </t>
  </si>
  <si>
    <t>Liczba godzin pracy w ciągu roku</t>
  </si>
  <si>
    <t>Założenia roboczogodzin (rg) 1 etat/rok</t>
  </si>
  <si>
    <t>Liczba godzin urlopu</t>
  </si>
  <si>
    <t>2008 rb</t>
  </si>
  <si>
    <t>251 dni x 8h (wyliczenia własne)</t>
  </si>
  <si>
    <t>26 dni x 8h (wyliczenia własne)</t>
  </si>
  <si>
    <t>Średnia ilośc dni zwolnienia lekarskiego na 1 etat/rok</t>
  </si>
  <si>
    <t>10 (dane GUS)</t>
  </si>
  <si>
    <t>208 rb</t>
  </si>
  <si>
    <t>80 rb</t>
  </si>
  <si>
    <t xml:space="preserve">Realny cza pracy w ciągu roku </t>
  </si>
  <si>
    <t>Liczba godzin pracy - urlop - zwolnienia lekarskie =</t>
  </si>
  <si>
    <t xml:space="preserve">Zadanie </t>
  </si>
  <si>
    <t>Szacowana ilość RG/tydzień</t>
  </si>
  <si>
    <t>Szacowana ilośc tygodni w roku</t>
  </si>
  <si>
    <t>Suma RG</t>
  </si>
  <si>
    <t xml:space="preserve">Budżet/jednostka </t>
  </si>
  <si>
    <t>cz. 41 Środowisko - Departament Geologii MKiŚ</t>
  </si>
  <si>
    <t xml:space="preserve">Opis </t>
  </si>
  <si>
    <t>Liczba etatów (1720 rb=1 etat)</t>
  </si>
  <si>
    <t xml:space="preserve">Analizy wniosków o uznanie projektu dotyczącego surowców krytycznych za projekt strategiczny przewidziany </t>
  </si>
  <si>
    <t>Działanie Krajowego Punktu Kontaktowego dot. projektów strategicznych</t>
  </si>
  <si>
    <t>Nadzór nad realizacją kolejnych działań zgodnie z harmonogramem prac KPP.</t>
  </si>
  <si>
    <t>Koordynacja działań oraz wspólpraca z właściwymi jednostkami w zakresie:
- monitorowania ryzyk związanych z dostawami surowców krytycznych
- wskazania kluczowych podmiotów rynkowych w całym łańcuchu wartości surowców krytycznych oraz monitorowania ich działalności
- przekazywania informacji o stanie swoich zapasów strategicznych surowców strategicznych
- przyjęcia i wdrożena krajowych środków dot. obiegu zamkniętego.</t>
  </si>
  <si>
    <t xml:space="preserve">Realizacji działań z zakresu odzysku surowców krytycznych z odpadów wydobywczych </t>
  </si>
  <si>
    <t>Działalność ciągła związana  m.in. z utworzeniem i prowadzeniem bazy danych zamkniętych, w tym opuszczonych, obiektów unieszkodliwiania odpadów wydobywczych czy też utworzeniem i wdrożeniem środków wspierających odzysk surowców krytycznych z odpadów wydobywczych.</t>
  </si>
  <si>
    <t xml:space="preserve">Udział w Europejskiej Radzie ds. Surowców Krytycznych oraz jego 6 podgrupach. </t>
  </si>
  <si>
    <t xml:space="preserve">KE planuje 2/3 spotkania przedstawicieli Wysokiego Szczebla na które należy przygotować analizy oraz opinie. W zakresie grup roboczych KE planuje spotkania co najmniej 2 razy na rok/grupę. Łączna ilość spotkań w powyższym zakresie ok. 15/rok. </t>
  </si>
  <si>
    <t>Realizacji działań w zakresie współpracy międzynarodowej i partnerstw strategicznych</t>
  </si>
  <si>
    <t>Przygotowanie opini kraju w zakresie trwających i nowych partnerstw strategicznych UE. Bieżące informowanie KE o partnerstwach Polski w tym zakresie oraz zachowanie spójności działań.</t>
  </si>
  <si>
    <t>Coroczna sprawozdawczości do KE z działań podjętych przez państwo w danym roku</t>
  </si>
  <si>
    <t xml:space="preserve">Monitorowania oraz egzekwowanie kar administracyjnych </t>
  </si>
  <si>
    <t xml:space="preserve">Działalność ciągła związania z zapytaniami/spotkaniami z przedsiębiorcami, którzy planują przedłożyć do KE wnioski o nadanie statusu projektu strategicznego ich przedwsięwzięć. </t>
  </si>
  <si>
    <t>Wspracie w zakresie analizy wniosków o nadanie statusu projektu strategicznego dot. recyklingu oraz wsparcie punktu kontaktowego w zakresie projektów dot. recyklingu będących w realizacji</t>
  </si>
  <si>
    <t>Współpracy w zakresie projektów strategicznych dot. recyklingu z Departamentem Geologii</t>
  </si>
  <si>
    <t>Uczestnictwa w roli eksperta w grupie roboczej dot. zrównoważonego rozwoju Europejskiej Rady ds. Surowców Krytycznych</t>
  </si>
  <si>
    <t xml:space="preserve">Ekspert z Dep. Gospodarki Opadadami będzie brał udział w grupie roboczej dot. zrównoważonego rozowju surowców krytycznych działającej przy Europejskiej Radzie ds. Surowców Krytycznych. Spotkanie będą odbywac nie rzadziej niż 2 razy do roku. </t>
  </si>
  <si>
    <t>cz. 20 Gospodarka - MRiT</t>
  </si>
  <si>
    <t xml:space="preserve">Zadanie ciągłe polegające na wskazaniu, monitorowaniu oraz aktualizacji przedsiębiorstw działających na terytorium Państwa, wykorzystujące surowce strategiczne do produkcji różnych urządzeń do wytwarzania energii ze źródeł odnawialnych, czy produkcji baterii. </t>
  </si>
  <si>
    <t>Współpracy w zakresie projektów strategicznych dot. przetwórstwa z Departamentem Geologii</t>
  </si>
  <si>
    <t xml:space="preserve">Razem </t>
  </si>
  <si>
    <t>Razem 1 etat dla MRiT</t>
  </si>
  <si>
    <t>1720 rb = 43 tyg po 40h pracy</t>
  </si>
  <si>
    <t xml:space="preserve">KE planuje przeprowadzać dwa nabory wniosków w ciągu roku. W pierwszym naborze w 2024 r. złożono 3 wnioski dot. Polski. Szacuje się 15h pracy/tydzień na 1 wniosek przez okres 6 tygodni podczas jednego naboru. </t>
  </si>
  <si>
    <t xml:space="preserve">Działalność ciągła związana z realizacją zadań punktu kontaktowego zgodnie z CRMA. </t>
  </si>
  <si>
    <t xml:space="preserve">Działalność ciągła związana z kontaktami, ustaleniami, przesyłaniem pism  z jednostkami odpowiedzialnymi za wydawanie kolejnych pozwoleń. </t>
  </si>
  <si>
    <t xml:space="preserve">Prowadzenie strony internetowej z informacjami dot. projektów strategicznych i procedur administracyjnych. </t>
  </si>
  <si>
    <t xml:space="preserve">Działalność ciągła związana z aktualizowaniem informacji na stronie. </t>
  </si>
  <si>
    <t>Koordynacja dotrzymania przez kraj, terminów wydawania pozwoleń na projekty strategiczne</t>
  </si>
  <si>
    <t>Realizacjai koordynacja Rządowego Programu Poszukiwań Surowców Krytycznych</t>
  </si>
  <si>
    <t xml:space="preserve">Działalnośc ciągła związana ze współpracą z MRiT, RARS, Dep. Gospodarki Odpadami i innymi w celu prawidłowego przygotwania oraz realizacji obowiązków zgodnie z CRMA oraz łączacymi się z działaniami Departamentu Geologii. </t>
  </si>
  <si>
    <t xml:space="preserve">Działalność ciągła związania ze szczegółową sprawozdawczością kraju z podjętych działań wynikających z obowiązków CRMA. </t>
  </si>
  <si>
    <t>Działalność ciągła związana z monitorowaniem oraz egzekwowaniem administracyjnych kar pieniężnych dla przedsiębiorców za niewykonanie lub nienależyte wykonanie obowiązków wynikających z CRMA oraz sposób wymierzania tych kar.</t>
  </si>
  <si>
    <t>Kontakt z przedsiębiorcami chcącymi wniosioskować do KE o nadanie statusu projektu strategicznego</t>
  </si>
  <si>
    <t>Utworzenie, wdrożenie oraz realizacja krajowych środków dot. obiegu zamkniętego odzysku surowców krytycznych w zakresie</t>
  </si>
  <si>
    <t>Wsparcie w zakresie analizy wniosków o nadanie statusu projektu strategicznego dot. przetwórstwa oraz wsparcie punktu kontaktowego w zakresie projektów dot. przetwórstwa będących w realizacji</t>
  </si>
  <si>
    <t>-</t>
  </si>
  <si>
    <t xml:space="preserve">Koszty utworzenia systemu informatycznego o surowcach mineralnych </t>
  </si>
  <si>
    <t xml:space="preserve">Koszty prowadzenia systemu informatycznego o surowcach mineralnych </t>
  </si>
  <si>
    <t>Koszty delegacji</t>
  </si>
  <si>
    <t>Koszty materiałów i wyposażenia</t>
  </si>
  <si>
    <t>RAZEM</t>
  </si>
  <si>
    <t>Uzasadnienie/wyliczenia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</si>
  <si>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</si>
  <si>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</si>
  <si>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</si>
  <si>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</si>
  <si>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</si>
  <si>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</si>
  <si>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</si>
  <si>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</si>
  <si>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</si>
  <si>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Cel</t>
  </si>
  <si>
    <t xml:space="preserve">Paragraf  </t>
  </si>
  <si>
    <t xml:space="preserve">Delegacje związane ze spotkaniami w zakresie działalności CAS. </t>
  </si>
  <si>
    <t>Bieżące prace merytoryczne zespołu instytucji naukowych wyłonionych w zapytaniu ofertowym</t>
  </si>
  <si>
    <t>Prace koncepcyjne zespołu instytucji naukowych (kooperacja) pod kątem modelu funkcjonowania i zakresu działania Centrum Analiz Surowcowych wyłonionych w zapytaniu ofertowym</t>
  </si>
  <si>
    <t>przeciętne miesięczne wynagrodzenie zgodnie z Rb-70</t>
  </si>
  <si>
    <t>2025</t>
  </si>
  <si>
    <t>2026</t>
  </si>
  <si>
    <t>Nazwa</t>
  </si>
  <si>
    <t>Etaty  MKIŚ oraz MRIT</t>
  </si>
  <si>
    <t>Dodatek RARS oraz GUS</t>
  </si>
  <si>
    <t>CAS</t>
  </si>
  <si>
    <t>Strona internetowa</t>
  </si>
  <si>
    <t>Działalność ciągła mająca na celu utworzenia i realizacjia krajowego programu mającego na celu m.in.: sprzyjania postępowi technologicznemu i efektywnemu gospodarowaniu zasobami; zapobiegania powstawaniu odpadów, większego ponownego użycia produktów o znacznym potencjale odzysku surowców krytycznych; zwiększania skali zbierania, sortowania i przeróbki  odpadów, zwiększania wykorzystania wtórnych surowców krytycznych; podejmowania środków niezbędnych do zapewnienia, by wywożone surowce krytyczne, które przestały być odpadami, spełniały odpowiednie warunki zgodnie z dyrektywą 2008/98/WE;</t>
  </si>
  <si>
    <t xml:space="preserve">Współpracy z punktem kontaktowym w zakresie projektów strategicznych dot. przeróbki </t>
  </si>
  <si>
    <t>cz. 51 Klimat - Departament Gospodarki Odpadami MKiŚ</t>
  </si>
  <si>
    <t>Nadzór nad realizacją  działań Centrum Analiz Surowcowych</t>
  </si>
  <si>
    <t>Działanie Centrum Analiz Surowcowych</t>
  </si>
  <si>
    <t>Razem 3,2 etatu dla Departamentu Geologii</t>
  </si>
  <si>
    <t>Razem 1 etat dla DGO</t>
  </si>
  <si>
    <t>Bieżące prace merytoryczne oraz organizacyjne zespołu PIG-PIB</t>
  </si>
  <si>
    <t xml:space="preserve">Pracę wykonywać będzie zespół złożony z 7 osób przez okres 1 miesięcą  złożony z najbardziej wykwalifikowanych pracowników PIG-PIB  wybranych w drodze konkursu. 
Koszty wynagrodzeń osobowych z pochodnymi: 
7 osobomiesięcy x 15 tys. zł =105 tys. zł. </t>
  </si>
  <si>
    <t xml:space="preserve">Koszty wynagrodzeń osobowych z pochodnymi:  pracę wykonywać będzie zespół złożony z 7 osób przez okres 12 miesięcy. 
84 osobomiesięce x 15 tys. zł =1 260 tys. zł. 
Koszty wynagrodzeń bezosobowych z pochodnymi: planuje się, w ramach wynagrodzeń bezosobowych. W zakres prac również wliczona jest koordynacja w zakresie działalności CAS. </t>
  </si>
  <si>
    <t xml:space="preserve">Koszty wynagrodzeń osobowych z pochodnymi:  pracę wykonywać będzie zespół złożony z 7 osób przez okres 12 miesięcy. 
84 osobomiesięce x 15 tys. zł =1 260 tys. zł. 
</t>
  </si>
  <si>
    <t>Prace koncepcyjne zespołu pod kątem modelu funkcjonowania i zakresu działania Centrum Analiz Surowcowych</t>
  </si>
  <si>
    <t>w tys. zł</t>
  </si>
  <si>
    <t xml:space="preserve">Koszt analogiczny do innych zadań PIG-PIB (psg). </t>
  </si>
  <si>
    <t xml:space="preserve">Przewiduje się prace siedmioosobowego zespołu ekspertów wybranego w ramach konkursu lub w ramach współpracy (na podstawie konkursu), z jednostkami naukowo-badawczymi z obszaru surowcowego. 
Koszty wynagrodzeń osobowych z pochodnymi: 
7 osobomiesięcy x 15 tys. zł =105 tys. zł. </t>
  </si>
  <si>
    <t>SUMA (tys.)</t>
  </si>
  <si>
    <t>Współpracy w ramach grupy roboczej dot. monitorowania ryzyka Europejskiej Rady ds. Surowców Krytycznych</t>
  </si>
  <si>
    <t xml:space="preserve">Zadanie związanie z działaniami grupy roboczej, która ma na celu wspierania zadań Komisji związanych z monitorowaniem i przeprowadzaniem testów warunków skrajnych surowców krytycznych.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</si>
</sst>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1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10" fontId="0" fillId="0" borderId="1" xfId="0" applyNumberFormat="1" applyBorder="1"/>
    <xf numFmtId="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0" fillId="0" borderId="1" xfId="0" applyNumberFormat="1" applyBorder="1"/>
    <xf numFmtId="4" fontId="2" fillId="0" borderId="1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wrapText="1"/>
    </xf>
    <xf numFmtId="44" fontId="4" fillId="0" borderId="1" xfId="0" applyNumberFormat="1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7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6" borderId="0" xfId="0" applyFill="1"/>
    <xf numFmtId="2" fontId="0" fillId="0" borderId="1" xfId="0" applyNumberForma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1" fillId="0" borderId="0" xfId="1" applyNumberFormat="1" applyFont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16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39"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charset val="238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164548</xdr:colOff>
      <xdr:row>0</xdr:row>
      <xdr:rowOff>105349</xdr:rowOff>
    </xdr:from>
    <xdr:to>
      <xdr:col>7</xdr:col>
      <xdr:colOff>627954</xdr:colOff>
      <xdr:row>0</xdr:row>
      <xdr:rowOff>254301</xdr:rowOff>
    </xdr:to>
    <xdr:sp macro="" textlink="">
      <xdr:nvSpPr>
        <xdr:cNvPr id="2" name="Strzałka: w lewo i w prawo 1">
          <a:extLst>
            <a:ext uri="{FF2B5EF4-FFF2-40B4-BE49-F238E27FC236}">
              <a16:creationId xmlns:a16="http://schemas.microsoft.com/office/drawing/2014/main" id="{1F2624BE-BF1B-5585-CC5E-322C54C43D10}"/>
            </a:ext>
          </a:extLst>
        </xdr:cNvPr>
        <xdr:cNvSpPr/>
      </xdr:nvSpPr>
      <xdr:spPr>
        <a:xfrm>
          <a:off x="12078801" y="105349"/>
          <a:ext cx="463406" cy="148952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 kern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A337BB-84D7-4CC5-80FA-9FC1B064488F}" name="Tabela1" displayName="Tabela1" ref="A1:G20" totalsRowShown="0" headerRowDxfId="38" dataDxfId="37">
  <tableColumns count="7">
    <tableColumn id="1" xr3:uid="{B50E3370-7DCE-42FF-B308-4F902F82802E}" name="Budżet/jednostka " dataDxfId="36"/>
    <tableColumn id="2" xr3:uid="{43BF95D8-8991-479E-B673-08CFF71DA3C6}" name="Zadanie " dataDxfId="35"/>
    <tableColumn id="7" xr3:uid="{440D496F-54A2-49FE-A42E-1BE97D4C5EB7}" name="Opis " dataDxfId="34"/>
    <tableColumn id="3" xr3:uid="{155D733B-FF5E-4625-832B-D797270390EA}" name="Szacowana ilość RG/tydzień" dataDxfId="33"/>
    <tableColumn id="4" xr3:uid="{B6BF0E71-423F-4792-A330-65DDA2F8A365}" name="Szacowana ilośc tygodni w roku" dataDxfId="32"/>
    <tableColumn id="5" xr3:uid="{2A6D138E-F330-4BB2-B03D-844BE9A7C78C}" name="Suma RG" dataDxfId="31">
      <calculatedColumnFormula>PRODUCT(Tabela1[[#This Row],[Szacowana ilość RG/tydzień]],Tabela1[[#This Row],[Szacowana ilośc tygodni w roku]])</calculatedColumnFormula>
    </tableColumn>
    <tableColumn id="6" xr3:uid="{F8728123-3F1F-4987-A74E-85BB7D6CC89D}" name="Liczba etatów (1720 rb=1 etat)" dataDxfId="30">
      <calculatedColumnFormula>ROUND(F2/1720,1)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E5719D-52D0-4AEE-A6CD-6C2AD2EC06E6}" name="Tabela2" displayName="Tabela2" ref="A2:L12" totalsRowShown="0" headerRowDxfId="29" dataDxfId="28">
  <autoFilter ref="A2:L12" xr:uid="{5BE5719D-52D0-4AEE-A6CD-6C2AD2EC06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5A61B04-C854-4029-822E-3A76130998CC}" name="Cel" dataDxfId="27"/>
    <tableColumn id="2" xr3:uid="{DAD7F441-1A56-4462-B1CB-87AF6489FF1A}" name="2026" dataDxfId="26" dataCellStyle="Dziesiętny"/>
    <tableColumn id="3" xr3:uid="{46BB1B06-7A27-4DE6-83BF-FBF6A55CC6CA}" name="2027" dataDxfId="25" dataCellStyle="Dziesiętny"/>
    <tableColumn id="9" xr3:uid="{43C4D0A5-FE03-47F6-8699-FE053C73770C}" name="2028" dataDxfId="24" dataCellStyle="Dziesiętny"/>
    <tableColumn id="10" xr3:uid="{A7319BBC-A228-4D21-ABB7-0EC10740AAF7}" name="2029" dataDxfId="23" dataCellStyle="Dziesiętny"/>
    <tableColumn id="11" xr3:uid="{4D991D7B-67E0-45C9-8928-90037DEE7B87}" name="2030" dataDxfId="22" dataCellStyle="Dziesiętny"/>
    <tableColumn id="8" xr3:uid="{B39E3484-D9EC-4942-A220-4E5372E1E216}" name="2031" dataDxfId="21" dataCellStyle="Dziesiętny"/>
    <tableColumn id="7" xr3:uid="{01A00F23-DF2B-4F86-906E-13096ECC9F7F}" name="2032" dataDxfId="20" dataCellStyle="Dziesiętny"/>
    <tableColumn id="6" xr3:uid="{41B50D26-4CFB-40AB-9BD8-B812D5E8BE60}" name="2033" dataDxfId="19" dataCellStyle="Dziesiętny"/>
    <tableColumn id="12" xr3:uid="{009A544F-4959-4DD8-A26F-9478E1AE6EA4}" name="2034" dataDxfId="18" dataCellStyle="Dziesiętny"/>
    <tableColumn id="4" xr3:uid="{211C6060-1714-4FE4-92B9-26B34287FB02}" name="2035" dataDxfId="17" dataCellStyle="Dziesiętny"/>
    <tableColumn id="5" xr3:uid="{2207B3B4-6441-4856-BE22-07A8E20CD84D}" name="Uzasadnienie/wyliczenia" dataDxfId="16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B79C54-C65A-44D6-9ED7-C5FBC230C365}" name="Tabela5" displayName="Tabela5" ref="A1:L7" totalsRowShown="0" headerRowDxfId="15" dataDxfId="13" headerRowBorderDxfId="14" tableBorderDxfId="12">
  <autoFilter ref="A1:L7" xr:uid="{39B79C54-C65A-44D6-9ED7-C5FBC230C36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333180D-D330-4062-BD7A-86B86C0D442F}" name="Nazwa" dataDxfId="11"/>
    <tableColumn id="2" xr3:uid="{14698177-EF25-4A79-8977-C4BB6CC69498}" name="2025" dataDxfId="10"/>
    <tableColumn id="3" xr3:uid="{68A1B1CA-E6BC-42FA-A6F4-A81E2CBCD491}" name="2026" dataDxfId="9"/>
    <tableColumn id="4" xr3:uid="{425FC7EC-F9ED-416E-8D43-622421A28B2F}" name="2027" dataDxfId="8"/>
    <tableColumn id="5" xr3:uid="{47C794D9-23F3-42BF-9709-A212C1A4C0DE}" name="2028" dataDxfId="7"/>
    <tableColumn id="6" xr3:uid="{4CFF4128-57CC-4516-AD31-697B5CB26EA9}" name="2029" dataDxfId="6"/>
    <tableColumn id="7" xr3:uid="{F42660A9-E60A-4B18-9D02-0EFE11B3ABC4}" name="2030" dataDxfId="5"/>
    <tableColumn id="8" xr3:uid="{E69E7B17-3255-44B1-9FD8-09B09493B059}" name="2031" dataDxfId="4"/>
    <tableColumn id="9" xr3:uid="{6133947A-D0B0-4C8C-84F2-E693DA49075A}" name="2032" dataDxfId="3"/>
    <tableColumn id="10" xr3:uid="{FE9CB687-E1EE-490D-A316-89495614F031}" name="2033" dataDxfId="2"/>
    <tableColumn id="11" xr3:uid="{56AB5213-C946-48E4-AEF4-D3455E2970D6}" name="2034" dataDxfId="1"/>
    <tableColumn id="12" xr3:uid="{3D1C4968-CCDA-49B0-BAA3-A20B95B8E615}" name="2035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B1A3-146D-40F5-A9AD-3B136628F9A5}">
  <dimension ref="A1:P26"/>
  <sheetViews>
    <sheetView zoomScale="55" zoomScaleNormal="55" workbookViewId="0">
      <selection activeCell="H26" sqref="H26"/>
    </sheetView>
  </sheetViews>
  <sheetFormatPr defaultRowHeight="15" x14ac:dyDescent="0.25"/>
  <cols>
    <col min="1" max="1" width="28.5703125" bestFit="1" customWidth="1"/>
    <col min="2" max="2" width="25.28515625" style="1" bestFit="1" customWidth="1"/>
    <col min="4" max="4" width="14" customWidth="1"/>
    <col min="5" max="5" width="11.140625" style="1" customWidth="1"/>
    <col min="6" max="6" width="11.28515625" style="1" customWidth="1"/>
    <col min="7" max="7" width="12.28515625" style="1" bestFit="1" customWidth="1"/>
    <col min="8" max="9" width="11.42578125" style="1" bestFit="1" customWidth="1"/>
    <col min="10" max="10" width="12.7109375" style="1" customWidth="1"/>
    <col min="11" max="11" width="14.140625" style="1" customWidth="1"/>
    <col min="12" max="12" width="13.85546875" style="1" customWidth="1"/>
    <col min="13" max="13" width="14.42578125" style="1" customWidth="1"/>
    <col min="14" max="14" width="14" style="1" customWidth="1"/>
    <col min="15" max="15" width="12.85546875" style="1" customWidth="1"/>
    <col min="16" max="16" width="12.5703125" customWidth="1"/>
  </cols>
  <sheetData>
    <row r="1" spans="1:16" x14ac:dyDescent="0.25">
      <c r="B1" s="1" t="s">
        <v>22</v>
      </c>
    </row>
    <row r="2" spans="1:16" x14ac:dyDescent="0.25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s="9" customFormat="1" x14ac:dyDescent="0.25">
      <c r="A4" s="7" t="s">
        <v>97</v>
      </c>
      <c r="B4" s="8" t="s">
        <v>1</v>
      </c>
      <c r="C4" s="7" t="s">
        <v>14</v>
      </c>
      <c r="D4" s="54" t="s">
        <v>10</v>
      </c>
      <c r="E4" s="52">
        <v>2025</v>
      </c>
      <c r="F4" s="53"/>
      <c r="G4" s="10">
        <v>2026</v>
      </c>
      <c r="H4" s="10">
        <v>2027</v>
      </c>
      <c r="I4" s="10">
        <v>2028</v>
      </c>
      <c r="J4" s="10">
        <v>2029</v>
      </c>
      <c r="K4" s="10">
        <v>2030</v>
      </c>
      <c r="L4" s="10">
        <v>2031</v>
      </c>
      <c r="M4" s="10">
        <v>2032</v>
      </c>
      <c r="N4" s="10">
        <v>2033</v>
      </c>
      <c r="O4" s="10">
        <v>2034</v>
      </c>
      <c r="P4" s="10">
        <v>2035</v>
      </c>
    </row>
    <row r="5" spans="1:16" s="9" customFormat="1" x14ac:dyDescent="0.25">
      <c r="A5" s="7"/>
      <c r="B5" s="8"/>
      <c r="C5" s="7"/>
      <c r="D5" s="55"/>
      <c r="E5" s="10" t="s">
        <v>12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1" t="s">
        <v>13</v>
      </c>
      <c r="M5" s="11" t="s">
        <v>13</v>
      </c>
      <c r="N5" s="11" t="s">
        <v>13</v>
      </c>
      <c r="O5" s="11" t="s">
        <v>13</v>
      </c>
      <c r="P5" s="11" t="s">
        <v>13</v>
      </c>
    </row>
    <row r="6" spans="1:16" x14ac:dyDescent="0.25">
      <c r="A6" s="6" t="s">
        <v>11</v>
      </c>
      <c r="B6" s="3" t="s">
        <v>0</v>
      </c>
      <c r="C6" s="2"/>
      <c r="D6" s="12">
        <v>5</v>
      </c>
      <c r="E6" s="12">
        <v>0</v>
      </c>
      <c r="F6" s="3">
        <f>E6*B23*D6*102%</f>
        <v>0</v>
      </c>
      <c r="G6" s="3">
        <f>B23*12*D6*103.1%</f>
        <v>480528.48</v>
      </c>
      <c r="H6" s="3">
        <f>+G6*103.1%</f>
        <v>495424.86287999991</v>
      </c>
      <c r="I6" s="3">
        <f>+H6*102.8%</f>
        <v>509296.75904063991</v>
      </c>
      <c r="J6" s="3">
        <f>+I6*102.7%</f>
        <v>523047.77153473726</v>
      </c>
      <c r="K6" s="3">
        <f>+J6*102.7%</f>
        <v>537170.06136617518</v>
      </c>
      <c r="L6" s="3">
        <f>+K6*102.6%</f>
        <v>551136.48296169576</v>
      </c>
      <c r="M6" s="3">
        <f>+L6*102.5%</f>
        <v>564914.89503573813</v>
      </c>
      <c r="N6" s="3">
        <f>+M6*102.5%</f>
        <v>579037.76741163153</v>
      </c>
      <c r="O6" s="3">
        <f>+N6*102.4%</f>
        <v>592934.67382951069</v>
      </c>
      <c r="P6" s="3">
        <f>+O6*102.4%</f>
        <v>607165.10600141902</v>
      </c>
    </row>
    <row r="7" spans="1:16" x14ac:dyDescent="0.25">
      <c r="A7" s="6">
        <v>4040</v>
      </c>
      <c r="B7" s="3" t="s">
        <v>2</v>
      </c>
      <c r="C7" s="4">
        <v>8.5000000000000006E-2</v>
      </c>
      <c r="D7" s="12"/>
      <c r="E7" s="12">
        <v>0</v>
      </c>
      <c r="F7" s="3">
        <v>0</v>
      </c>
      <c r="G7" s="3">
        <f>C7*F6</f>
        <v>0</v>
      </c>
      <c r="H7" s="3">
        <f>C7*G6</f>
        <v>40844.9208</v>
      </c>
      <c r="I7" s="3">
        <f>H6*C7</f>
        <v>42111.113344799996</v>
      </c>
      <c r="J7" s="3">
        <f>I6*C7</f>
        <v>43290.224518454394</v>
      </c>
      <c r="K7" s="3">
        <f>J6*C7</f>
        <v>44459.060580452671</v>
      </c>
      <c r="L7" s="3">
        <f>K6*C7</f>
        <v>45659.455216124894</v>
      </c>
      <c r="M7" s="3">
        <f>L6*C7</f>
        <v>46846.601051744146</v>
      </c>
      <c r="N7" s="3">
        <f>M6*C7</f>
        <v>48017.766078037741</v>
      </c>
      <c r="O7" s="3">
        <f>N6*C7</f>
        <v>49218.210229988683</v>
      </c>
      <c r="P7" s="3">
        <f>O6*C7</f>
        <v>50399.447275508413</v>
      </c>
    </row>
    <row r="8" spans="1:16" x14ac:dyDescent="0.25">
      <c r="A8" s="6">
        <v>4110</v>
      </c>
      <c r="B8" s="3" t="s">
        <v>3</v>
      </c>
      <c r="C8" s="4">
        <v>0.1719</v>
      </c>
      <c r="D8" s="12"/>
      <c r="E8" s="12">
        <v>0</v>
      </c>
      <c r="F8" s="3">
        <f>F6*C8</f>
        <v>0</v>
      </c>
      <c r="G8" s="3">
        <f>(G6+G7)*C8</f>
        <v>82602.845711999995</v>
      </c>
      <c r="H8" s="3">
        <f>(H6+H7)*C8</f>
        <v>92184.77581459198</v>
      </c>
      <c r="I8" s="3">
        <f>(I6+I7)*C8</f>
        <v>94787.013263057117</v>
      </c>
      <c r="J8" s="3">
        <f>(J6+J7)*C8</f>
        <v>97353.501521543629</v>
      </c>
      <c r="K8" s="3">
        <f>(K6+K7)*C8</f>
        <v>99982.046062625333</v>
      </c>
      <c r="L8" s="3">
        <f>(L6+L7)*C8</f>
        <v>102589.22177276737</v>
      </c>
      <c r="M8" s="3">
        <f>(M6+M7)*C8</f>
        <v>105161.8011774382</v>
      </c>
      <c r="N8" s="3">
        <f>(N6+N7)*C8</f>
        <v>107790.84620687415</v>
      </c>
      <c r="O8" s="3">
        <f>(O6+O7)*C8</f>
        <v>110386.08076982794</v>
      </c>
      <c r="P8" s="3">
        <f>(P6+P7)*C8</f>
        <v>113035.34670830383</v>
      </c>
    </row>
    <row r="9" spans="1:16" x14ac:dyDescent="0.25">
      <c r="A9" s="6">
        <v>4120</v>
      </c>
      <c r="B9" s="3" t="s">
        <v>4</v>
      </c>
      <c r="C9" s="4">
        <v>2.4500000000000001E-2</v>
      </c>
      <c r="D9" s="12"/>
      <c r="E9" s="12">
        <v>0</v>
      </c>
      <c r="F9" s="3">
        <f>F6*C9</f>
        <v>0</v>
      </c>
      <c r="G9" s="3">
        <f>(G6+G7)*C9</f>
        <v>11772.947759999999</v>
      </c>
      <c r="H9" s="3">
        <f>(H6+H7)*C9</f>
        <v>13138.609700159997</v>
      </c>
      <c r="I9" s="3">
        <f>(I6+I7)*C9</f>
        <v>13509.49287344328</v>
      </c>
      <c r="J9" s="3">
        <f>(J6+J7)*C9</f>
        <v>13875.280903303195</v>
      </c>
      <c r="K9" s="3">
        <f>(K6+K7)*C9</f>
        <v>14249.913487692384</v>
      </c>
      <c r="L9" s="3">
        <f>(L6+L7)*C9</f>
        <v>14621.500485356606</v>
      </c>
      <c r="M9" s="3">
        <f>(M6+M7)*C9</f>
        <v>14988.156654143317</v>
      </c>
      <c r="N9" s="3">
        <f>(N6+N7)*C9</f>
        <v>15362.8605704969</v>
      </c>
      <c r="O9" s="3">
        <f>(O6+O7)*C9</f>
        <v>15732.745659457734</v>
      </c>
      <c r="P9" s="3">
        <f>(P6+P7)*C9</f>
        <v>16110.331555284723</v>
      </c>
    </row>
    <row r="10" spans="1:16" x14ac:dyDescent="0.25">
      <c r="A10" s="6">
        <v>4710</v>
      </c>
      <c r="B10" s="3" t="s">
        <v>5</v>
      </c>
      <c r="C10" s="4">
        <v>1.4999999999999999E-2</v>
      </c>
      <c r="D10" s="12"/>
      <c r="E10" s="12">
        <v>0</v>
      </c>
      <c r="F10" s="3">
        <f>F6*C10</f>
        <v>0</v>
      </c>
      <c r="G10" s="3">
        <f>(G6+G7)*C10</f>
        <v>7207.9271999999992</v>
      </c>
      <c r="H10" s="3">
        <f>(H6+H7)*C10</f>
        <v>8044.0467551999982</v>
      </c>
      <c r="I10" s="3">
        <f>(I6+I7)*C10</f>
        <v>8271.118085781598</v>
      </c>
      <c r="J10" s="3">
        <f>(J6+J7)*C10</f>
        <v>8495.0699407978736</v>
      </c>
      <c r="K10" s="3">
        <f>(K6+K7)*C10</f>
        <v>8724.4368291994178</v>
      </c>
      <c r="L10" s="3">
        <f>(L6+L7)*C10</f>
        <v>8951.93907266731</v>
      </c>
      <c r="M10" s="3">
        <f>(M6+M7)*C10</f>
        <v>9176.4224413122338</v>
      </c>
      <c r="N10" s="3">
        <f>(N6+N7)*C10</f>
        <v>9405.8330023450399</v>
      </c>
      <c r="O10" s="3">
        <f>(O6+O7)*C10</f>
        <v>9632.2932608924893</v>
      </c>
      <c r="P10" s="3">
        <f>(P6+P7)*C10</f>
        <v>9863.4682991539121</v>
      </c>
    </row>
    <row r="11" spans="1:16" x14ac:dyDescent="0.25">
      <c r="A11" s="6">
        <v>4440</v>
      </c>
      <c r="B11" s="3" t="s">
        <v>6</v>
      </c>
      <c r="C11" s="3">
        <v>2417.14</v>
      </c>
      <c r="D11" s="12"/>
      <c r="E11" s="12">
        <v>0</v>
      </c>
      <c r="F11" s="3"/>
      <c r="G11" s="3">
        <f>D6*C11</f>
        <v>12085.699999999999</v>
      </c>
      <c r="H11" s="3">
        <f t="shared" ref="H11:P11" si="0">+G11</f>
        <v>12085.699999999999</v>
      </c>
      <c r="I11" s="3">
        <f t="shared" si="0"/>
        <v>12085.699999999999</v>
      </c>
      <c r="J11" s="3">
        <f t="shared" si="0"/>
        <v>12085.699999999999</v>
      </c>
      <c r="K11" s="3">
        <f t="shared" si="0"/>
        <v>12085.699999999999</v>
      </c>
      <c r="L11" s="3">
        <f t="shared" si="0"/>
        <v>12085.699999999999</v>
      </c>
      <c r="M11" s="3">
        <f t="shared" si="0"/>
        <v>12085.699999999999</v>
      </c>
      <c r="N11" s="3">
        <f t="shared" si="0"/>
        <v>12085.699999999999</v>
      </c>
      <c r="O11" s="3">
        <f t="shared" si="0"/>
        <v>12085.699999999999</v>
      </c>
      <c r="P11" s="3">
        <f t="shared" si="0"/>
        <v>12085.699999999999</v>
      </c>
    </row>
    <row r="12" spans="1:16" ht="45" x14ac:dyDescent="0.25">
      <c r="A12" s="6">
        <v>4000</v>
      </c>
      <c r="B12" s="5" t="s">
        <v>17</v>
      </c>
      <c r="C12" s="13">
        <f>1300+1900+300+1100+469+150</f>
        <v>5219</v>
      </c>
      <c r="D12" s="12">
        <v>5</v>
      </c>
      <c r="E12" s="12">
        <v>0</v>
      </c>
      <c r="F12" s="13">
        <v>0</v>
      </c>
      <c r="G12" s="13">
        <f>C12*D12</f>
        <v>26095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</row>
    <row r="13" spans="1:16" ht="45" x14ac:dyDescent="0.25">
      <c r="A13" s="6">
        <v>4000</v>
      </c>
      <c r="B13" s="5" t="s">
        <v>16</v>
      </c>
      <c r="C13" s="13">
        <v>11500</v>
      </c>
      <c r="D13" s="12">
        <v>5</v>
      </c>
      <c r="E13" s="12">
        <v>0</v>
      </c>
      <c r="F13" s="3"/>
      <c r="G13" s="3">
        <f>C13*D13</f>
        <v>57500</v>
      </c>
      <c r="H13" s="3">
        <v>0</v>
      </c>
      <c r="I13" s="3">
        <f t="shared" ref="I13:P21" si="1">+H13</f>
        <v>0</v>
      </c>
      <c r="J13" s="3">
        <f t="shared" si="1"/>
        <v>0</v>
      </c>
      <c r="K13" s="3">
        <f t="shared" si="1"/>
        <v>0</v>
      </c>
      <c r="L13" s="3">
        <f t="shared" si="1"/>
        <v>0</v>
      </c>
      <c r="M13" s="3">
        <f t="shared" si="1"/>
        <v>0</v>
      </c>
      <c r="N13" s="3">
        <f t="shared" si="1"/>
        <v>0</v>
      </c>
      <c r="O13" s="3">
        <f t="shared" si="1"/>
        <v>0</v>
      </c>
      <c r="P13" s="3">
        <f t="shared" si="1"/>
        <v>0</v>
      </c>
    </row>
    <row r="14" spans="1:16" x14ac:dyDescent="0.25">
      <c r="A14" s="6">
        <v>4000</v>
      </c>
      <c r="B14" s="5" t="s">
        <v>15</v>
      </c>
      <c r="C14" s="13">
        <v>2000</v>
      </c>
      <c r="D14" s="12">
        <v>5</v>
      </c>
      <c r="E14" s="12">
        <v>0</v>
      </c>
      <c r="F14" s="3">
        <v>0</v>
      </c>
      <c r="G14" s="3">
        <f>C14*D14</f>
        <v>10000</v>
      </c>
      <c r="H14" s="3">
        <f t="shared" ref="H14" si="2">+G14</f>
        <v>10000</v>
      </c>
      <c r="I14" s="3">
        <f t="shared" si="1"/>
        <v>10000</v>
      </c>
      <c r="J14" s="3">
        <f t="shared" si="1"/>
        <v>10000</v>
      </c>
      <c r="K14" s="3">
        <f t="shared" si="1"/>
        <v>10000</v>
      </c>
      <c r="L14" s="3">
        <f t="shared" si="1"/>
        <v>10000</v>
      </c>
      <c r="M14" s="3">
        <f t="shared" si="1"/>
        <v>10000</v>
      </c>
      <c r="N14" s="3">
        <f t="shared" si="1"/>
        <v>10000</v>
      </c>
      <c r="O14" s="3">
        <f t="shared" si="1"/>
        <v>10000</v>
      </c>
      <c r="P14" s="3">
        <f t="shared" si="1"/>
        <v>10000</v>
      </c>
    </row>
    <row r="15" spans="1:16" ht="60" x14ac:dyDescent="0.25">
      <c r="A15" s="6">
        <v>4000</v>
      </c>
      <c r="B15" s="5" t="s">
        <v>18</v>
      </c>
      <c r="C15" s="13">
        <f>160.51+4.5+117+65.8</f>
        <v>347.81</v>
      </c>
      <c r="D15" s="12">
        <v>5</v>
      </c>
      <c r="E15" s="12">
        <v>0</v>
      </c>
      <c r="F15" s="13">
        <f t="shared" ref="F15:F21" si="3">C15*D15*E15</f>
        <v>0</v>
      </c>
      <c r="G15" s="13">
        <f>C15*12*D15</f>
        <v>20868.600000000002</v>
      </c>
      <c r="H15" s="13">
        <f t="shared" ref="H15:H21" si="4">+G15</f>
        <v>20868.600000000002</v>
      </c>
      <c r="I15" s="13">
        <f t="shared" si="1"/>
        <v>20868.600000000002</v>
      </c>
      <c r="J15" s="13">
        <f t="shared" si="1"/>
        <v>20868.600000000002</v>
      </c>
      <c r="K15" s="13">
        <f t="shared" si="1"/>
        <v>20868.600000000002</v>
      </c>
      <c r="L15" s="13">
        <f t="shared" si="1"/>
        <v>20868.600000000002</v>
      </c>
      <c r="M15" s="13">
        <f t="shared" si="1"/>
        <v>20868.600000000002</v>
      </c>
      <c r="N15" s="13">
        <f t="shared" si="1"/>
        <v>20868.600000000002</v>
      </c>
      <c r="O15" s="13">
        <f t="shared" si="1"/>
        <v>20868.600000000002</v>
      </c>
      <c r="P15" s="13">
        <f t="shared" si="1"/>
        <v>20868.600000000002</v>
      </c>
    </row>
    <row r="16" spans="1:16" x14ac:dyDescent="0.25">
      <c r="A16" s="6">
        <v>4520</v>
      </c>
      <c r="B16" s="3" t="s">
        <v>7</v>
      </c>
      <c r="C16" s="13">
        <v>18.309999999999999</v>
      </c>
      <c r="D16" s="12">
        <v>5</v>
      </c>
      <c r="E16" s="12">
        <v>0</v>
      </c>
      <c r="F16" s="13">
        <f t="shared" si="3"/>
        <v>0</v>
      </c>
      <c r="G16" s="13">
        <f>C16*D16*12</f>
        <v>1098.5999999999999</v>
      </c>
      <c r="H16" s="13">
        <f t="shared" si="4"/>
        <v>1098.5999999999999</v>
      </c>
      <c r="I16" s="13">
        <f t="shared" si="1"/>
        <v>1098.5999999999999</v>
      </c>
      <c r="J16" s="13">
        <f t="shared" si="1"/>
        <v>1098.5999999999999</v>
      </c>
      <c r="K16" s="13">
        <f t="shared" si="1"/>
        <v>1098.5999999999999</v>
      </c>
      <c r="L16" s="13">
        <f t="shared" si="1"/>
        <v>1098.5999999999999</v>
      </c>
      <c r="M16" s="13">
        <f t="shared" si="1"/>
        <v>1098.5999999999999</v>
      </c>
      <c r="N16" s="13">
        <f t="shared" si="1"/>
        <v>1098.5999999999999</v>
      </c>
      <c r="O16" s="13">
        <f t="shared" si="1"/>
        <v>1098.5999999999999</v>
      </c>
      <c r="P16" s="13">
        <f t="shared" si="1"/>
        <v>1098.5999999999999</v>
      </c>
    </row>
    <row r="17" spans="1:16" x14ac:dyDescent="0.25">
      <c r="A17" s="6">
        <v>4480</v>
      </c>
      <c r="B17" s="3" t="s">
        <v>8</v>
      </c>
      <c r="C17" s="13">
        <v>17.97</v>
      </c>
      <c r="D17" s="12">
        <v>5</v>
      </c>
      <c r="E17" s="12">
        <v>0</v>
      </c>
      <c r="F17" s="13">
        <f t="shared" si="3"/>
        <v>0</v>
      </c>
      <c r="G17" s="13">
        <f>C17*D17*12</f>
        <v>1078.1999999999998</v>
      </c>
      <c r="H17" s="13">
        <f t="shared" si="4"/>
        <v>1078.1999999999998</v>
      </c>
      <c r="I17" s="13">
        <f t="shared" si="1"/>
        <v>1078.1999999999998</v>
      </c>
      <c r="J17" s="13">
        <f t="shared" si="1"/>
        <v>1078.1999999999998</v>
      </c>
      <c r="K17" s="13">
        <f t="shared" si="1"/>
        <v>1078.1999999999998</v>
      </c>
      <c r="L17" s="13">
        <f t="shared" si="1"/>
        <v>1078.1999999999998</v>
      </c>
      <c r="M17" s="13">
        <f t="shared" si="1"/>
        <v>1078.1999999999998</v>
      </c>
      <c r="N17" s="13">
        <f t="shared" si="1"/>
        <v>1078.1999999999998</v>
      </c>
      <c r="O17" s="13">
        <f t="shared" si="1"/>
        <v>1078.1999999999998</v>
      </c>
      <c r="P17" s="13">
        <f t="shared" si="1"/>
        <v>1078.1999999999998</v>
      </c>
    </row>
    <row r="18" spans="1:16" x14ac:dyDescent="0.25">
      <c r="A18" s="6">
        <v>4270</v>
      </c>
      <c r="B18" s="3" t="s">
        <v>9</v>
      </c>
      <c r="C18" s="13">
        <v>108.14</v>
      </c>
      <c r="D18" s="12">
        <v>5</v>
      </c>
      <c r="E18" s="12">
        <v>0</v>
      </c>
      <c r="F18" s="13">
        <f t="shared" si="3"/>
        <v>0</v>
      </c>
      <c r="G18" s="13">
        <f>C18*D18*12</f>
        <v>6488.4000000000005</v>
      </c>
      <c r="H18" s="13">
        <f t="shared" si="4"/>
        <v>6488.4000000000005</v>
      </c>
      <c r="I18" s="13">
        <f t="shared" si="1"/>
        <v>6488.4000000000005</v>
      </c>
      <c r="J18" s="13">
        <f t="shared" si="1"/>
        <v>6488.4000000000005</v>
      </c>
      <c r="K18" s="13">
        <f t="shared" si="1"/>
        <v>6488.4000000000005</v>
      </c>
      <c r="L18" s="13">
        <f t="shared" si="1"/>
        <v>6488.4000000000005</v>
      </c>
      <c r="M18" s="13">
        <f t="shared" si="1"/>
        <v>6488.4000000000005</v>
      </c>
      <c r="N18" s="13">
        <f t="shared" si="1"/>
        <v>6488.4000000000005</v>
      </c>
      <c r="O18" s="13">
        <f t="shared" si="1"/>
        <v>6488.4000000000005</v>
      </c>
      <c r="P18" s="13">
        <f t="shared" si="1"/>
        <v>6488.4000000000005</v>
      </c>
    </row>
    <row r="19" spans="1:16" x14ac:dyDescent="0.25">
      <c r="A19" s="6">
        <v>4410</v>
      </c>
      <c r="B19" s="3" t="s">
        <v>19</v>
      </c>
      <c r="C19" s="13">
        <v>30.32</v>
      </c>
      <c r="D19" s="12">
        <v>5</v>
      </c>
      <c r="E19" s="12">
        <v>0</v>
      </c>
      <c r="F19" s="13">
        <f t="shared" si="3"/>
        <v>0</v>
      </c>
      <c r="G19" s="13">
        <f>C19*12*D19</f>
        <v>1819.2000000000003</v>
      </c>
      <c r="H19" s="13">
        <f t="shared" si="4"/>
        <v>1819.2000000000003</v>
      </c>
      <c r="I19" s="13">
        <f t="shared" si="1"/>
        <v>1819.2000000000003</v>
      </c>
      <c r="J19" s="13">
        <f t="shared" si="1"/>
        <v>1819.2000000000003</v>
      </c>
      <c r="K19" s="13">
        <f t="shared" si="1"/>
        <v>1819.2000000000003</v>
      </c>
      <c r="L19" s="13">
        <f t="shared" si="1"/>
        <v>1819.2000000000003</v>
      </c>
      <c r="M19" s="13">
        <f t="shared" si="1"/>
        <v>1819.2000000000003</v>
      </c>
      <c r="N19" s="13">
        <f t="shared" si="1"/>
        <v>1819.2000000000003</v>
      </c>
      <c r="O19" s="13">
        <f t="shared" si="1"/>
        <v>1819.2000000000003</v>
      </c>
      <c r="P19" s="13">
        <f t="shared" si="1"/>
        <v>1819.2000000000003</v>
      </c>
    </row>
    <row r="20" spans="1:16" x14ac:dyDescent="0.25">
      <c r="A20" s="6">
        <v>4420</v>
      </c>
      <c r="B20" s="3" t="s">
        <v>20</v>
      </c>
      <c r="C20" s="13">
        <v>95.45</v>
      </c>
      <c r="D20" s="12">
        <v>5</v>
      </c>
      <c r="E20" s="12">
        <v>0</v>
      </c>
      <c r="F20" s="13">
        <f t="shared" si="3"/>
        <v>0</v>
      </c>
      <c r="G20" s="13">
        <f>C20*D20*12</f>
        <v>5727</v>
      </c>
      <c r="H20" s="13">
        <f t="shared" si="4"/>
        <v>5727</v>
      </c>
      <c r="I20" s="13">
        <f t="shared" si="1"/>
        <v>5727</v>
      </c>
      <c r="J20" s="13">
        <f t="shared" si="1"/>
        <v>5727</v>
      </c>
      <c r="K20" s="13">
        <f t="shared" si="1"/>
        <v>5727</v>
      </c>
      <c r="L20" s="13">
        <f t="shared" si="1"/>
        <v>5727</v>
      </c>
      <c r="M20" s="13">
        <f t="shared" si="1"/>
        <v>5727</v>
      </c>
      <c r="N20" s="13">
        <f t="shared" si="1"/>
        <v>5727</v>
      </c>
      <c r="O20" s="13">
        <f t="shared" si="1"/>
        <v>5727</v>
      </c>
      <c r="P20" s="13">
        <f t="shared" si="1"/>
        <v>5727</v>
      </c>
    </row>
    <row r="21" spans="1:16" ht="30" x14ac:dyDescent="0.25">
      <c r="A21" s="6">
        <v>3020</v>
      </c>
      <c r="B21" s="5" t="s">
        <v>21</v>
      </c>
      <c r="C21" s="13">
        <v>0.59</v>
      </c>
      <c r="D21" s="12">
        <v>5</v>
      </c>
      <c r="E21" s="12">
        <v>0</v>
      </c>
      <c r="F21" s="13">
        <f t="shared" si="3"/>
        <v>0</v>
      </c>
      <c r="G21" s="13">
        <f>C21*D21*12</f>
        <v>35.4</v>
      </c>
      <c r="H21" s="13">
        <f t="shared" si="4"/>
        <v>35.4</v>
      </c>
      <c r="I21" s="13">
        <f t="shared" si="1"/>
        <v>35.4</v>
      </c>
      <c r="J21" s="13">
        <f t="shared" si="1"/>
        <v>35.4</v>
      </c>
      <c r="K21" s="13">
        <f t="shared" si="1"/>
        <v>35.4</v>
      </c>
      <c r="L21" s="13">
        <f t="shared" si="1"/>
        <v>35.4</v>
      </c>
      <c r="M21" s="13">
        <f t="shared" si="1"/>
        <v>35.4</v>
      </c>
      <c r="N21" s="13">
        <f t="shared" si="1"/>
        <v>35.4</v>
      </c>
      <c r="O21" s="13">
        <f t="shared" si="1"/>
        <v>35.4</v>
      </c>
      <c r="P21" s="13">
        <f t="shared" si="1"/>
        <v>35.4</v>
      </c>
    </row>
    <row r="22" spans="1:16" x14ac:dyDescent="0.25">
      <c r="F22" s="14">
        <f>SUM(F6:F21)</f>
        <v>0</v>
      </c>
      <c r="G22" s="14">
        <f>SUM(G6:G21)</f>
        <v>724908.30067199992</v>
      </c>
      <c r="H22" s="14">
        <f>SUM(H6:H21)</f>
        <v>708838.31594995176</v>
      </c>
      <c r="I22" s="14">
        <f t="shared" ref="I22:O22" si="5">SUM(I6:I21)</f>
        <v>727176.59660772176</v>
      </c>
      <c r="J22" s="14">
        <f t="shared" si="5"/>
        <v>745262.94841883611</v>
      </c>
      <c r="K22" s="14">
        <f t="shared" si="5"/>
        <v>763786.61832614488</v>
      </c>
      <c r="L22" s="14">
        <f t="shared" si="5"/>
        <v>782159.69950861169</v>
      </c>
      <c r="M22" s="14">
        <f t="shared" si="5"/>
        <v>800288.97636037599</v>
      </c>
      <c r="N22" s="14">
        <f t="shared" si="5"/>
        <v>818816.17326938524</v>
      </c>
      <c r="O22" s="14">
        <f t="shared" si="5"/>
        <v>837105.10374967742</v>
      </c>
      <c r="P22" s="14">
        <f t="shared" ref="P22" si="6">SUM(P6:P21)</f>
        <v>855774.79983966972</v>
      </c>
    </row>
    <row r="23" spans="1:16" ht="45" x14ac:dyDescent="0.25">
      <c r="A23" s="15" t="s">
        <v>101</v>
      </c>
      <c r="B23" s="14">
        <v>7768</v>
      </c>
    </row>
    <row r="26" spans="1:16" x14ac:dyDescent="0.25">
      <c r="H26" s="1" t="s">
        <v>22</v>
      </c>
    </row>
  </sheetData>
  <mergeCells count="3">
    <mergeCell ref="A2:O2"/>
    <mergeCell ref="E4:F4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33C4D-6A15-4D28-8E3C-60FC42E86A6A}">
  <dimension ref="A1:K21"/>
  <sheetViews>
    <sheetView tabSelected="1" topLeftCell="A18" zoomScale="70" zoomScaleNormal="70" workbookViewId="0">
      <selection activeCell="D18" sqref="D18"/>
    </sheetView>
  </sheetViews>
  <sheetFormatPr defaultRowHeight="15" x14ac:dyDescent="0.25"/>
  <cols>
    <col min="1" max="1" width="15.7109375" style="32" customWidth="1"/>
    <col min="2" max="2" width="52.28515625" customWidth="1"/>
    <col min="3" max="3" width="42.5703125" customWidth="1"/>
    <col min="4" max="4" width="18.140625" customWidth="1"/>
    <col min="5" max="5" width="15.5703125" customWidth="1"/>
    <col min="6" max="6" width="11" customWidth="1"/>
    <col min="7" max="7" width="14.140625" customWidth="1"/>
    <col min="8" max="8" width="11" customWidth="1"/>
    <col min="9" max="9" width="19.7109375" customWidth="1"/>
    <col min="10" max="10" width="31.140625" customWidth="1"/>
    <col min="11" max="12" width="15.28515625" customWidth="1"/>
  </cols>
  <sheetData>
    <row r="1" spans="1:11" s="23" customFormat="1" ht="25.5" x14ac:dyDescent="0.25">
      <c r="A1" s="24" t="s">
        <v>40</v>
      </c>
      <c r="B1" s="24" t="s">
        <v>36</v>
      </c>
      <c r="C1" s="24" t="s">
        <v>42</v>
      </c>
      <c r="D1" s="24" t="s">
        <v>37</v>
      </c>
      <c r="E1" s="24" t="s">
        <v>38</v>
      </c>
      <c r="F1" s="24" t="s">
        <v>39</v>
      </c>
      <c r="G1" s="24" t="s">
        <v>43</v>
      </c>
      <c r="I1" s="56" t="s">
        <v>25</v>
      </c>
      <c r="J1" s="57"/>
      <c r="K1" s="58"/>
    </row>
    <row r="2" spans="1:11" ht="81.599999999999994" customHeight="1" x14ac:dyDescent="0.25">
      <c r="A2" s="24" t="s">
        <v>41</v>
      </c>
      <c r="B2" s="24" t="s">
        <v>44</v>
      </c>
      <c r="C2" s="24" t="s">
        <v>67</v>
      </c>
      <c r="D2" s="23">
        <v>45</v>
      </c>
      <c r="E2" s="30">
        <v>12</v>
      </c>
      <c r="F2" s="23">
        <f>PRODUCT(Tabela1[[#This Row],[Szacowana ilość RG/tydzień]],Tabela1[[#This Row],[Szacowana ilośc tygodni w roku]])</f>
        <v>540</v>
      </c>
      <c r="G2" s="31">
        <f t="shared" ref="G2:G20" si="0">ROUND(F2/1720,1)</f>
        <v>0.3</v>
      </c>
      <c r="I2" s="18" t="s">
        <v>24</v>
      </c>
      <c r="J2" s="16" t="s">
        <v>28</v>
      </c>
      <c r="K2" s="17" t="s">
        <v>27</v>
      </c>
    </row>
    <row r="3" spans="1:11" ht="38.25" x14ac:dyDescent="0.25">
      <c r="A3" s="24" t="s">
        <v>41</v>
      </c>
      <c r="B3" s="26" t="s">
        <v>45</v>
      </c>
      <c r="C3" s="24" t="s">
        <v>68</v>
      </c>
      <c r="D3" s="23">
        <v>20</v>
      </c>
      <c r="E3" s="30">
        <v>43</v>
      </c>
      <c r="F3" s="23">
        <f>PRODUCT(Tabela1[[#This Row],[Szacowana ilość RG/tydzień]],Tabela1[[#This Row],[Szacowana ilośc tygodni w roku]])</f>
        <v>860</v>
      </c>
      <c r="G3" s="31">
        <f t="shared" si="0"/>
        <v>0.5</v>
      </c>
      <c r="I3" s="18" t="s">
        <v>26</v>
      </c>
      <c r="J3" s="19" t="s">
        <v>29</v>
      </c>
      <c r="K3" s="20" t="s">
        <v>32</v>
      </c>
    </row>
    <row r="4" spans="1:11" ht="51" x14ac:dyDescent="0.25">
      <c r="A4" s="24" t="s">
        <v>41</v>
      </c>
      <c r="B4" s="26" t="s">
        <v>72</v>
      </c>
      <c r="C4" s="24" t="s">
        <v>69</v>
      </c>
      <c r="D4" s="23">
        <v>10</v>
      </c>
      <c r="E4" s="30">
        <v>43</v>
      </c>
      <c r="F4" s="23">
        <f>PRODUCT(Tabela1[[#This Row],[Szacowana ilość RG/tydzień]],Tabela1[[#This Row],[Szacowana ilośc tygodni w roku]])</f>
        <v>430</v>
      </c>
      <c r="G4" s="31">
        <f t="shared" si="0"/>
        <v>0.3</v>
      </c>
      <c r="I4" s="18" t="s">
        <v>30</v>
      </c>
      <c r="J4" s="19" t="s">
        <v>31</v>
      </c>
      <c r="K4" s="20" t="s">
        <v>33</v>
      </c>
    </row>
    <row r="5" spans="1:11" ht="39" thickBot="1" x14ac:dyDescent="0.3">
      <c r="A5" s="24" t="s">
        <v>41</v>
      </c>
      <c r="B5" s="24" t="s">
        <v>70</v>
      </c>
      <c r="C5" s="24" t="s">
        <v>71</v>
      </c>
      <c r="D5" s="23">
        <v>6</v>
      </c>
      <c r="E5" s="30">
        <v>43</v>
      </c>
      <c r="F5" s="23">
        <f>PRODUCT(Tabela1[[#This Row],[Szacowana ilość RG/tydzień]],Tabela1[[#This Row],[Szacowana ilośc tygodni w roku]])</f>
        <v>258</v>
      </c>
      <c r="G5" s="31">
        <f t="shared" si="0"/>
        <v>0.2</v>
      </c>
      <c r="I5" s="21" t="s">
        <v>34</v>
      </c>
      <c r="J5" s="22" t="s">
        <v>35</v>
      </c>
      <c r="K5" s="25" t="s">
        <v>66</v>
      </c>
    </row>
    <row r="6" spans="1:11" ht="58.15" customHeight="1" x14ac:dyDescent="0.25">
      <c r="A6" s="24" t="s">
        <v>41</v>
      </c>
      <c r="B6" s="24" t="s">
        <v>73</v>
      </c>
      <c r="C6" s="24" t="s">
        <v>46</v>
      </c>
      <c r="D6" s="23">
        <v>14</v>
      </c>
      <c r="E6" s="30">
        <v>43</v>
      </c>
      <c r="F6" s="23">
        <f>PRODUCT(Tabela1[[#This Row],[Szacowana ilość RG/tydzień]],Tabela1[[#This Row],[Szacowana ilośc tygodni w roku]])</f>
        <v>602</v>
      </c>
      <c r="G6" s="31">
        <f t="shared" si="0"/>
        <v>0.4</v>
      </c>
    </row>
    <row r="7" spans="1:11" ht="38.25" x14ac:dyDescent="0.25">
      <c r="A7" s="24" t="s">
        <v>41</v>
      </c>
      <c r="B7" s="24" t="s">
        <v>113</v>
      </c>
      <c r="C7" s="24" t="s">
        <v>112</v>
      </c>
      <c r="D7" s="23">
        <v>5</v>
      </c>
      <c r="E7" s="30">
        <v>43</v>
      </c>
      <c r="F7" s="23">
        <f>PRODUCT(Tabela1[[#This Row],[Szacowana ilość RG/tydzień]],Tabela1[[#This Row],[Szacowana ilośc tygodni w roku]])</f>
        <v>215</v>
      </c>
      <c r="G7" s="31">
        <f t="shared" si="0"/>
        <v>0.1</v>
      </c>
    </row>
    <row r="8" spans="1:11" ht="140.25" x14ac:dyDescent="0.25">
      <c r="A8" s="24" t="s">
        <v>41</v>
      </c>
      <c r="B8" s="24" t="s">
        <v>47</v>
      </c>
      <c r="C8" s="24" t="s">
        <v>74</v>
      </c>
      <c r="D8" s="23">
        <v>10</v>
      </c>
      <c r="E8" s="30">
        <v>43</v>
      </c>
      <c r="F8" s="23">
        <f>PRODUCT(Tabela1[[#This Row],[Szacowana ilość RG/tydzień]],Tabela1[[#This Row],[Szacowana ilośc tygodni w roku]])</f>
        <v>430</v>
      </c>
      <c r="G8" s="31">
        <f t="shared" si="0"/>
        <v>0.3</v>
      </c>
    </row>
    <row r="9" spans="1:11" ht="88.5" customHeight="1" x14ac:dyDescent="0.25">
      <c r="A9" s="24" t="s">
        <v>41</v>
      </c>
      <c r="B9" s="24" t="s">
        <v>48</v>
      </c>
      <c r="C9" s="24" t="s">
        <v>49</v>
      </c>
      <c r="D9" s="23">
        <v>10</v>
      </c>
      <c r="E9" s="30">
        <v>43</v>
      </c>
      <c r="F9" s="23">
        <f>PRODUCT(Tabela1[[#This Row],[Szacowana ilość RG/tydzień]],Tabela1[[#This Row],[Szacowana ilośc tygodni w roku]])</f>
        <v>430</v>
      </c>
      <c r="G9" s="31">
        <f t="shared" si="0"/>
        <v>0.3</v>
      </c>
    </row>
    <row r="10" spans="1:11" ht="76.5" x14ac:dyDescent="0.25">
      <c r="A10" s="24" t="s">
        <v>41</v>
      </c>
      <c r="B10" s="24" t="s">
        <v>50</v>
      </c>
      <c r="C10" s="24" t="s">
        <v>51</v>
      </c>
      <c r="D10" s="23">
        <v>20</v>
      </c>
      <c r="E10" s="30">
        <v>15</v>
      </c>
      <c r="F10" s="23">
        <f>PRODUCT(Tabela1[[#This Row],[Szacowana ilość RG/tydzień]],Tabela1[[#This Row],[Szacowana ilośc tygodni w roku]])</f>
        <v>300</v>
      </c>
      <c r="G10" s="31">
        <f t="shared" si="0"/>
        <v>0.2</v>
      </c>
    </row>
    <row r="11" spans="1:11" ht="51" x14ac:dyDescent="0.25">
      <c r="A11" s="24" t="s">
        <v>41</v>
      </c>
      <c r="B11" s="24" t="s">
        <v>52</v>
      </c>
      <c r="C11" s="24" t="s">
        <v>53</v>
      </c>
      <c r="D11" s="23">
        <v>2</v>
      </c>
      <c r="E11" s="30">
        <v>43</v>
      </c>
      <c r="F11" s="23">
        <f>PRODUCT(Tabela1[[#This Row],[Szacowana ilość RG/tydzień]],Tabela1[[#This Row],[Szacowana ilośc tygodni w roku]])</f>
        <v>86</v>
      </c>
      <c r="G11" s="31">
        <f t="shared" si="0"/>
        <v>0.1</v>
      </c>
    </row>
    <row r="12" spans="1:11" ht="38.25" x14ac:dyDescent="0.25">
      <c r="A12" s="24" t="s">
        <v>41</v>
      </c>
      <c r="B12" s="26" t="s">
        <v>54</v>
      </c>
      <c r="C12" s="24" t="s">
        <v>75</v>
      </c>
      <c r="D12" s="30">
        <v>6</v>
      </c>
      <c r="E12" s="30">
        <v>43</v>
      </c>
      <c r="F12" s="23">
        <f>PRODUCT(Tabela1[[#This Row],[Szacowana ilość RG/tydzień]],Tabela1[[#This Row],[Szacowana ilośc tygodni w roku]])</f>
        <v>258</v>
      </c>
      <c r="G12" s="31">
        <f t="shared" si="0"/>
        <v>0.2</v>
      </c>
    </row>
    <row r="13" spans="1:11" ht="77.25" thickBot="1" x14ac:dyDescent="0.3">
      <c r="A13" s="24" t="s">
        <v>41</v>
      </c>
      <c r="B13" s="24" t="s">
        <v>55</v>
      </c>
      <c r="C13" s="24" t="s">
        <v>76</v>
      </c>
      <c r="D13" s="23">
        <v>8</v>
      </c>
      <c r="E13" s="30">
        <v>43</v>
      </c>
      <c r="F13" s="23">
        <f>PRODUCT(Tabela1[[#This Row],[Szacowana ilość RG/tydzień]],Tabela1[[#This Row],[Szacowana ilośc tygodni w roku]])</f>
        <v>344</v>
      </c>
      <c r="G13" s="31">
        <f t="shared" si="0"/>
        <v>0.2</v>
      </c>
    </row>
    <row r="14" spans="1:11" ht="70.5" customHeight="1" thickBot="1" x14ac:dyDescent="0.3">
      <c r="A14" s="24" t="s">
        <v>41</v>
      </c>
      <c r="B14" s="24" t="s">
        <v>77</v>
      </c>
      <c r="C14" s="24" t="s">
        <v>56</v>
      </c>
      <c r="D14" s="23">
        <v>2</v>
      </c>
      <c r="E14" s="30">
        <v>43</v>
      </c>
      <c r="F14" s="23">
        <f>PRODUCT(Tabela1[[#This Row],[Szacowana ilość RG/tydzień]],Tabela1[[#This Row],[Szacowana ilośc tygodni w roku]])</f>
        <v>86</v>
      </c>
      <c r="G14" s="31">
        <f t="shared" si="0"/>
        <v>0.1</v>
      </c>
      <c r="H14" s="27" t="s">
        <v>114</v>
      </c>
    </row>
    <row r="15" spans="1:11" ht="208.5" customHeight="1" x14ac:dyDescent="0.25">
      <c r="A15" s="24" t="s">
        <v>111</v>
      </c>
      <c r="B15" s="24" t="s">
        <v>78</v>
      </c>
      <c r="C15" s="24" t="s">
        <v>109</v>
      </c>
      <c r="D15" s="23">
        <v>25</v>
      </c>
      <c r="E15" s="30">
        <v>43</v>
      </c>
      <c r="F15" s="23">
        <f>PRODUCT(Tabela1[[#This Row],[Szacowana ilość RG/tydzień]],Tabela1[[#This Row],[Szacowana ilośc tygodni w roku]])</f>
        <v>1075</v>
      </c>
      <c r="G15" s="31">
        <f t="shared" si="0"/>
        <v>0.6</v>
      </c>
    </row>
    <row r="16" spans="1:11" ht="69" customHeight="1" thickBot="1" x14ac:dyDescent="0.3">
      <c r="A16" s="24" t="s">
        <v>111</v>
      </c>
      <c r="B16" s="26" t="s">
        <v>58</v>
      </c>
      <c r="C16" s="24" t="s">
        <v>57</v>
      </c>
      <c r="D16" s="23">
        <v>10</v>
      </c>
      <c r="E16" s="30">
        <v>43</v>
      </c>
      <c r="F16" s="23">
        <f>PRODUCT(Tabela1[[#This Row],[Szacowana ilość RG/tydzień]],Tabela1[[#This Row],[Szacowana ilośc tygodni w roku]])</f>
        <v>430</v>
      </c>
      <c r="G16" s="31">
        <f t="shared" si="0"/>
        <v>0.3</v>
      </c>
    </row>
    <row r="17" spans="1:8" ht="77.25" thickBot="1" x14ac:dyDescent="0.3">
      <c r="A17" s="24" t="s">
        <v>111</v>
      </c>
      <c r="B17" s="24" t="s">
        <v>59</v>
      </c>
      <c r="C17" s="24" t="s">
        <v>60</v>
      </c>
      <c r="D17" s="23">
        <v>20</v>
      </c>
      <c r="E17" s="30">
        <v>6</v>
      </c>
      <c r="F17" s="23">
        <f>PRODUCT(Tabela1[[#This Row],[Szacowana ilość RG/tydzień]],Tabela1[[#This Row],[Szacowana ilośc tygodni w roku]])</f>
        <v>120</v>
      </c>
      <c r="G17" s="31">
        <f t="shared" si="0"/>
        <v>0.1</v>
      </c>
      <c r="H17" s="27" t="s">
        <v>115</v>
      </c>
    </row>
    <row r="18" spans="1:8" ht="198" customHeight="1" x14ac:dyDescent="0.25">
      <c r="A18" s="24" t="s">
        <v>61</v>
      </c>
      <c r="B18" s="24" t="s">
        <v>125</v>
      </c>
      <c r="C18" s="24" t="s">
        <v>126</v>
      </c>
      <c r="D18" s="23">
        <v>6</v>
      </c>
      <c r="E18" s="30">
        <v>43</v>
      </c>
      <c r="F18" s="23">
        <f>PRODUCT(Tabela1[[#This Row],[Szacowana ilość RG/tydzień]],Tabela1[[#This Row],[Szacowana ilośc tygodni w roku]])</f>
        <v>258</v>
      </c>
      <c r="G18" s="31">
        <f t="shared" si="0"/>
        <v>0.2</v>
      </c>
    </row>
    <row r="19" spans="1:8" ht="105.75" customHeight="1" thickBot="1" x14ac:dyDescent="0.3">
      <c r="A19" s="24" t="s">
        <v>61</v>
      </c>
      <c r="B19" s="26" t="s">
        <v>63</v>
      </c>
      <c r="C19" s="24" t="s">
        <v>62</v>
      </c>
      <c r="D19" s="23">
        <v>20</v>
      </c>
      <c r="E19" s="30">
        <v>43</v>
      </c>
      <c r="F19" s="23">
        <f>PRODUCT(Tabela1[[#This Row],[Szacowana ilość RG/tydzień]],Tabela1[[#This Row],[Szacowana ilośc tygodni w roku]])</f>
        <v>860</v>
      </c>
      <c r="G19" s="31">
        <f>ROUND(F19/1720,1)</f>
        <v>0.5</v>
      </c>
    </row>
    <row r="20" spans="1:8" ht="76.5" customHeight="1" thickBot="1" x14ac:dyDescent="0.3">
      <c r="A20" s="24" t="s">
        <v>61</v>
      </c>
      <c r="B20" s="24" t="s">
        <v>110</v>
      </c>
      <c r="C20" s="24" t="s">
        <v>79</v>
      </c>
      <c r="D20" s="23">
        <v>10</v>
      </c>
      <c r="E20" s="30">
        <v>43</v>
      </c>
      <c r="F20" s="23">
        <f>PRODUCT(Tabela1[[#This Row],[Szacowana ilość RG/tydzień]],Tabela1[[#This Row],[Szacowana ilośc tygodni w roku]])</f>
        <v>430</v>
      </c>
      <c r="G20" s="31">
        <f t="shared" si="0"/>
        <v>0.3</v>
      </c>
      <c r="H20" s="27" t="s">
        <v>65</v>
      </c>
    </row>
    <row r="21" spans="1:8" ht="19.5" thickBot="1" x14ac:dyDescent="0.35">
      <c r="F21" s="28" t="s">
        <v>64</v>
      </c>
      <c r="G21" s="29">
        <f>SUM(Tabela1[Liczba etatów (1720 rb=1 etat)])</f>
        <v>5.2</v>
      </c>
    </row>
  </sheetData>
  <mergeCells count="1">
    <mergeCell ref="I1:K1"/>
  </mergeCells>
  <pageMargins left="0.7" right="0.7" top="0.75" bottom="0.75" header="0.3" footer="0.3"/>
  <pageSetup paperSize="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858A-BF5A-4018-BE73-907D9823CBB5}">
  <dimension ref="A1:P17"/>
  <sheetViews>
    <sheetView topLeftCell="B4" zoomScale="70" zoomScaleNormal="70" workbookViewId="0">
      <selection activeCell="L9" sqref="L9"/>
    </sheetView>
  </sheetViews>
  <sheetFormatPr defaultColWidth="8.7109375" defaultRowHeight="15" x14ac:dyDescent="0.25"/>
  <cols>
    <col min="1" max="1" width="68.85546875" style="30" customWidth="1"/>
    <col min="2" max="2" width="14.85546875" style="30" customWidth="1"/>
    <col min="3" max="6" width="9.85546875" style="30" bestFit="1" customWidth="1"/>
    <col min="7" max="7" width="11.140625" style="30" customWidth="1"/>
    <col min="8" max="8" width="11.5703125" style="30" customWidth="1"/>
    <col min="9" max="9" width="10.85546875" style="30" customWidth="1"/>
    <col min="10" max="10" width="11.28515625" style="30" customWidth="1"/>
    <col min="11" max="11" width="12.5703125" style="30" customWidth="1"/>
    <col min="12" max="12" width="62.7109375" style="30" customWidth="1"/>
    <col min="13" max="13" width="11.140625" style="30" customWidth="1"/>
    <col min="14" max="15" width="10.5703125" style="30" customWidth="1"/>
    <col min="16" max="16" width="12.140625" style="30" customWidth="1"/>
    <col min="17" max="16384" width="8.7109375" style="30"/>
  </cols>
  <sheetData>
    <row r="1" spans="1:16" x14ac:dyDescent="0.25">
      <c r="B1" s="60" t="s">
        <v>121</v>
      </c>
      <c r="C1" s="60"/>
      <c r="D1" s="60"/>
      <c r="E1" s="60"/>
      <c r="F1" s="60"/>
      <c r="G1" s="60"/>
      <c r="H1" s="60"/>
      <c r="I1" s="60"/>
      <c r="J1" s="60"/>
      <c r="K1" s="60"/>
    </row>
    <row r="2" spans="1:16" x14ac:dyDescent="0.25">
      <c r="A2" s="30" t="s">
        <v>96</v>
      </c>
      <c r="B2" s="30" t="s">
        <v>103</v>
      </c>
      <c r="C2" s="30" t="s">
        <v>87</v>
      </c>
      <c r="D2" s="30" t="s">
        <v>88</v>
      </c>
      <c r="E2" s="30" t="s">
        <v>89</v>
      </c>
      <c r="F2" s="30" t="s">
        <v>90</v>
      </c>
      <c r="G2" s="30" t="s">
        <v>91</v>
      </c>
      <c r="H2" s="30" t="s">
        <v>92</v>
      </c>
      <c r="I2" s="30" t="s">
        <v>93</v>
      </c>
      <c r="J2" s="30" t="s">
        <v>94</v>
      </c>
      <c r="K2" s="30" t="s">
        <v>95</v>
      </c>
      <c r="L2" s="30" t="s">
        <v>86</v>
      </c>
    </row>
    <row r="3" spans="1:16" ht="75" x14ac:dyDescent="0.25">
      <c r="A3" s="33" t="s">
        <v>120</v>
      </c>
      <c r="B3" s="48">
        <v>105</v>
      </c>
      <c r="C3" s="48" t="s">
        <v>80</v>
      </c>
      <c r="D3" s="48" t="s">
        <v>80</v>
      </c>
      <c r="E3" s="48" t="s">
        <v>80</v>
      </c>
      <c r="F3" s="48" t="s">
        <v>80</v>
      </c>
      <c r="G3" s="48" t="s">
        <v>80</v>
      </c>
      <c r="H3" s="48" t="s">
        <v>80</v>
      </c>
      <c r="I3" s="48" t="s">
        <v>80</v>
      </c>
      <c r="J3" s="48" t="s">
        <v>80</v>
      </c>
      <c r="K3" s="48" t="s">
        <v>80</v>
      </c>
      <c r="L3" s="33" t="s">
        <v>117</v>
      </c>
    </row>
    <row r="4" spans="1:16" ht="131.44999999999999" customHeight="1" x14ac:dyDescent="0.25">
      <c r="A4" s="33" t="s">
        <v>116</v>
      </c>
      <c r="B4" s="49">
        <v>1260</v>
      </c>
      <c r="C4" s="49">
        <f>+B4*103.1%</f>
        <v>1299.06</v>
      </c>
      <c r="D4" s="49">
        <f>+C4*102.8%</f>
        <v>1335.4336799999999</v>
      </c>
      <c r="E4" s="49">
        <f>+D4*102.7%</f>
        <v>1371.4903893600001</v>
      </c>
      <c r="F4" s="49">
        <f>+E4*102.7%</f>
        <v>1408.5206298727203</v>
      </c>
      <c r="G4" s="49">
        <f>+F4*102.6%</f>
        <v>1445.142166249411</v>
      </c>
      <c r="H4" s="49">
        <f>+G4*102.5%</f>
        <v>1481.2707204056462</v>
      </c>
      <c r="I4" s="49">
        <f>+H4*102.5%</f>
        <v>1518.3024884157871</v>
      </c>
      <c r="J4" s="49">
        <f>+I4*102.4%</f>
        <v>1554.7417481377661</v>
      </c>
      <c r="K4" s="49">
        <f>+J4*102.4%</f>
        <v>1592.0555500930725</v>
      </c>
      <c r="L4" s="33" t="s">
        <v>118</v>
      </c>
    </row>
    <row r="5" spans="1:16" x14ac:dyDescent="0.25">
      <c r="A5" s="33" t="s">
        <v>81</v>
      </c>
      <c r="B5" s="48">
        <v>100</v>
      </c>
      <c r="C5" s="48" t="s">
        <v>80</v>
      </c>
      <c r="D5" s="48" t="s">
        <v>80</v>
      </c>
      <c r="E5" s="48" t="s">
        <v>80</v>
      </c>
      <c r="F5" s="48" t="s">
        <v>80</v>
      </c>
      <c r="G5" s="48" t="s">
        <v>80</v>
      </c>
      <c r="H5" s="48" t="s">
        <v>80</v>
      </c>
      <c r="I5" s="48" t="s">
        <v>80</v>
      </c>
      <c r="J5" s="48" t="s">
        <v>80</v>
      </c>
      <c r="K5" s="48" t="s">
        <v>80</v>
      </c>
      <c r="L5" s="33" t="s">
        <v>122</v>
      </c>
    </row>
    <row r="6" spans="1:16" x14ac:dyDescent="0.25">
      <c r="A6" s="33" t="s">
        <v>82</v>
      </c>
      <c r="B6" s="48">
        <v>40</v>
      </c>
      <c r="C6" s="48">
        <v>40</v>
      </c>
      <c r="D6" s="48">
        <v>40</v>
      </c>
      <c r="E6" s="48">
        <v>40</v>
      </c>
      <c r="F6" s="48">
        <v>40</v>
      </c>
      <c r="G6" s="48">
        <v>40</v>
      </c>
      <c r="H6" s="48">
        <v>40</v>
      </c>
      <c r="I6" s="48">
        <v>40</v>
      </c>
      <c r="J6" s="48">
        <v>40</v>
      </c>
      <c r="K6" s="48">
        <v>40</v>
      </c>
      <c r="L6" s="33" t="s">
        <v>122</v>
      </c>
    </row>
    <row r="7" spans="1:16" x14ac:dyDescent="0.25">
      <c r="A7" s="33" t="s">
        <v>83</v>
      </c>
      <c r="B7" s="48">
        <v>40</v>
      </c>
      <c r="C7" s="48">
        <v>25.6</v>
      </c>
      <c r="D7" s="48">
        <v>25.6</v>
      </c>
      <c r="E7" s="48">
        <v>25.6</v>
      </c>
      <c r="F7" s="48">
        <v>25.6</v>
      </c>
      <c r="G7" s="48">
        <v>25.6</v>
      </c>
      <c r="H7" s="48">
        <v>25.6</v>
      </c>
      <c r="I7" s="48">
        <v>25.6</v>
      </c>
      <c r="J7" s="48">
        <v>25.6</v>
      </c>
      <c r="K7" s="48">
        <v>25.6</v>
      </c>
      <c r="L7" s="33" t="s">
        <v>98</v>
      </c>
    </row>
    <row r="8" spans="1:16" x14ac:dyDescent="0.25">
      <c r="A8" s="33" t="s">
        <v>84</v>
      </c>
      <c r="B8" s="48">
        <v>11</v>
      </c>
      <c r="C8" s="48">
        <v>9</v>
      </c>
      <c r="D8" s="48">
        <v>9</v>
      </c>
      <c r="E8" s="48">
        <v>9</v>
      </c>
      <c r="F8" s="48">
        <v>9</v>
      </c>
      <c r="G8" s="48">
        <v>9</v>
      </c>
      <c r="H8" s="48">
        <v>9</v>
      </c>
      <c r="I8" s="48">
        <v>9</v>
      </c>
      <c r="J8" s="48">
        <v>9</v>
      </c>
      <c r="K8" s="48">
        <v>9</v>
      </c>
      <c r="L8" s="33" t="s">
        <v>122</v>
      </c>
    </row>
    <row r="9" spans="1:16" ht="90.75" customHeight="1" x14ac:dyDescent="0.25">
      <c r="A9" s="33" t="s">
        <v>100</v>
      </c>
      <c r="B9" s="48">
        <v>105</v>
      </c>
      <c r="C9" s="48" t="s">
        <v>80</v>
      </c>
      <c r="D9" s="48" t="s">
        <v>80</v>
      </c>
      <c r="E9" s="48" t="s">
        <v>80</v>
      </c>
      <c r="F9" s="48" t="s">
        <v>80</v>
      </c>
      <c r="G9" s="48" t="s">
        <v>80</v>
      </c>
      <c r="H9" s="48" t="s">
        <v>80</v>
      </c>
      <c r="I9" s="48"/>
      <c r="J9" s="48" t="s">
        <v>80</v>
      </c>
      <c r="K9" s="48" t="s">
        <v>80</v>
      </c>
      <c r="L9" s="33" t="s">
        <v>123</v>
      </c>
    </row>
    <row r="10" spans="1:16" ht="60" x14ac:dyDescent="0.25">
      <c r="A10" s="33" t="s">
        <v>99</v>
      </c>
      <c r="B10" s="49">
        <v>1260</v>
      </c>
      <c r="C10" s="49">
        <f>+B10*103.1%</f>
        <v>1299.06</v>
      </c>
      <c r="D10" s="49">
        <f>+C10*102.8%</f>
        <v>1335.4336799999999</v>
      </c>
      <c r="E10" s="49">
        <f>+D10*102.7%</f>
        <v>1371.4903893600001</v>
      </c>
      <c r="F10" s="49">
        <f>+E10*102.7%</f>
        <v>1408.5206298727203</v>
      </c>
      <c r="G10" s="49">
        <f>+F10*102.6%</f>
        <v>1445.142166249411</v>
      </c>
      <c r="H10" s="49">
        <f>+G10*102.5%</f>
        <v>1481.2707204056462</v>
      </c>
      <c r="I10" s="49">
        <f>+H10*102.5%</f>
        <v>1518.3024884157871</v>
      </c>
      <c r="J10" s="49">
        <f>+I10*102.4%</f>
        <v>1554.7417481377661</v>
      </c>
      <c r="K10" s="49">
        <f>+J10*102.4%</f>
        <v>1592.0555500930725</v>
      </c>
      <c r="L10" s="33" t="s">
        <v>119</v>
      </c>
    </row>
    <row r="11" spans="1:16" ht="15.75" thickBot="1" x14ac:dyDescent="0.3">
      <c r="A11" s="33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33"/>
    </row>
    <row r="12" spans="1:16" ht="16.5" thickTop="1" thickBot="1" x14ac:dyDescent="0.3">
      <c r="A12" s="34" t="s">
        <v>85</v>
      </c>
      <c r="B12" s="50">
        <f t="shared" ref="B12:K12" si="0">SUM(B3:B10)</f>
        <v>2921</v>
      </c>
      <c r="C12" s="50">
        <f t="shared" si="0"/>
        <v>2672.72</v>
      </c>
      <c r="D12" s="50">
        <f t="shared" si="0"/>
        <v>2745.4673599999996</v>
      </c>
      <c r="E12" s="50">
        <f t="shared" si="0"/>
        <v>2817.5807787200001</v>
      </c>
      <c r="F12" s="50">
        <f t="shared" si="0"/>
        <v>2891.6412597454405</v>
      </c>
      <c r="G12" s="50">
        <f t="shared" si="0"/>
        <v>2964.884332498822</v>
      </c>
      <c r="H12" s="50">
        <f t="shared" si="0"/>
        <v>3037.1414408112923</v>
      </c>
      <c r="I12" s="50">
        <f t="shared" si="0"/>
        <v>3111.2049768315742</v>
      </c>
      <c r="J12" s="50">
        <f t="shared" si="0"/>
        <v>3184.0834962755321</v>
      </c>
      <c r="K12" s="50">
        <f t="shared" si="0"/>
        <v>3258.7111001861449</v>
      </c>
      <c r="L12" s="33"/>
    </row>
    <row r="13" spans="1:16" ht="15.75" thickTop="1" x14ac:dyDescent="0.25"/>
    <row r="15" spans="1:16" x14ac:dyDescent="0.25">
      <c r="A15" s="9"/>
      <c r="B15" s="35"/>
      <c r="C15" s="9"/>
      <c r="D15" s="51"/>
      <c r="E15" s="59"/>
      <c r="F15" s="59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1:16" x14ac:dyDescent="0.25">
      <c r="A16" s="9"/>
      <c r="B16" s="35"/>
      <c r="C16" s="9"/>
      <c r="D16" s="5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x14ac:dyDescent="0.25">
      <c r="A17" s="23"/>
      <c r="B17" s="37"/>
      <c r="C17" s="23"/>
      <c r="D17" s="38"/>
      <c r="E17" s="38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</sheetData>
  <mergeCells count="3">
    <mergeCell ref="D15:D16"/>
    <mergeCell ref="E15:F15"/>
    <mergeCell ref="B1:K1"/>
  </mergeCells>
  <phoneticPr fontId="5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929C-AB70-4E4F-8000-9A5DC62D608F}">
  <dimension ref="A1:M7"/>
  <sheetViews>
    <sheetView workbookViewId="0">
      <selection activeCell="A7" sqref="A7"/>
    </sheetView>
  </sheetViews>
  <sheetFormatPr defaultRowHeight="15" x14ac:dyDescent="0.25"/>
  <cols>
    <col min="1" max="1" width="23.5703125" customWidth="1"/>
    <col min="2" max="2" width="8.7109375" customWidth="1"/>
    <col min="3" max="3" width="13.7109375" customWidth="1"/>
    <col min="4" max="4" width="12.140625" customWidth="1"/>
    <col min="5" max="5" width="16.5703125" customWidth="1"/>
    <col min="6" max="6" width="11.85546875" customWidth="1"/>
    <col min="7" max="7" width="12.140625" customWidth="1"/>
    <col min="8" max="8" width="12.28515625" customWidth="1"/>
    <col min="9" max="10" width="12.140625" customWidth="1"/>
    <col min="11" max="11" width="12.28515625" customWidth="1"/>
    <col min="12" max="12" width="12.7109375" customWidth="1"/>
  </cols>
  <sheetData>
    <row r="1" spans="1:13" x14ac:dyDescent="0.25">
      <c r="A1" s="39" t="s">
        <v>104</v>
      </c>
      <c r="B1" s="40" t="s">
        <v>102</v>
      </c>
      <c r="C1" s="41" t="s">
        <v>103</v>
      </c>
      <c r="D1" s="41" t="s">
        <v>87</v>
      </c>
      <c r="E1" s="41" t="s">
        <v>88</v>
      </c>
      <c r="F1" s="41" t="s">
        <v>89</v>
      </c>
      <c r="G1" s="41" t="s">
        <v>90</v>
      </c>
      <c r="H1" s="41" t="s">
        <v>91</v>
      </c>
      <c r="I1" s="41" t="s">
        <v>92</v>
      </c>
      <c r="J1" s="41" t="s">
        <v>93</v>
      </c>
      <c r="K1" s="41" t="s">
        <v>94</v>
      </c>
      <c r="L1" s="41" t="s">
        <v>95</v>
      </c>
    </row>
    <row r="2" spans="1:13" x14ac:dyDescent="0.25">
      <c r="A2" s="6" t="s">
        <v>105</v>
      </c>
      <c r="B2" s="42">
        <v>0</v>
      </c>
      <c r="C2" s="45">
        <v>724.90800000000002</v>
      </c>
      <c r="D2" s="45">
        <v>708.83799999999997</v>
      </c>
      <c r="E2" s="45">
        <v>727.17600000000004</v>
      </c>
      <c r="F2" s="45">
        <v>745.26199999999994</v>
      </c>
      <c r="G2" s="45">
        <v>763.78599999999994</v>
      </c>
      <c r="H2" s="45">
        <v>782.15899999999999</v>
      </c>
      <c r="I2" s="45">
        <v>800.28800000000001</v>
      </c>
      <c r="J2" s="45">
        <v>818.81600000000003</v>
      </c>
      <c r="K2" s="45">
        <v>837.10500000000002</v>
      </c>
      <c r="L2" s="45">
        <v>855.774</v>
      </c>
    </row>
    <row r="3" spans="1:13" x14ac:dyDescent="0.25">
      <c r="A3" s="6" t="s">
        <v>106</v>
      </c>
      <c r="B3" s="6"/>
      <c r="C3" s="6">
        <v>100</v>
      </c>
      <c r="D3" s="6">
        <v>100</v>
      </c>
      <c r="E3" s="6">
        <v>100</v>
      </c>
      <c r="F3" s="6">
        <v>100</v>
      </c>
      <c r="G3" s="6">
        <v>100</v>
      </c>
      <c r="H3" s="6">
        <v>100</v>
      </c>
      <c r="I3" s="6">
        <v>100</v>
      </c>
      <c r="J3" s="6">
        <v>100</v>
      </c>
      <c r="K3" s="6">
        <v>100</v>
      </c>
      <c r="L3" s="6">
        <v>100</v>
      </c>
    </row>
    <row r="4" spans="1:13" s="47" customFormat="1" x14ac:dyDescent="0.25">
      <c r="A4" s="6" t="s">
        <v>107</v>
      </c>
      <c r="B4" s="6"/>
      <c r="C4" s="46">
        <v>2921</v>
      </c>
      <c r="D4" s="46">
        <v>2672.72</v>
      </c>
      <c r="E4" s="46">
        <v>2745.4673599999996</v>
      </c>
      <c r="F4" s="46">
        <v>2817.5807787200001</v>
      </c>
      <c r="G4" s="46">
        <v>2891.6412597454405</v>
      </c>
      <c r="H4" s="46">
        <v>2964.884332498822</v>
      </c>
      <c r="I4" s="46">
        <v>3037.1414408112923</v>
      </c>
      <c r="J4" s="46">
        <v>3111.2049768315742</v>
      </c>
      <c r="K4" s="46">
        <v>3184.0834962755321</v>
      </c>
      <c r="L4" s="46">
        <v>3258.7111001861449</v>
      </c>
    </row>
    <row r="5" spans="1:13" x14ac:dyDescent="0.25">
      <c r="A5" s="6" t="s">
        <v>108</v>
      </c>
      <c r="B5" s="6"/>
      <c r="C5" s="6">
        <v>50</v>
      </c>
      <c r="D5" s="6">
        <v>50</v>
      </c>
      <c r="E5" s="6">
        <v>50</v>
      </c>
      <c r="F5" s="6">
        <v>50</v>
      </c>
      <c r="G5" s="6">
        <v>50</v>
      </c>
      <c r="H5" s="6">
        <v>50</v>
      </c>
      <c r="I5" s="6">
        <v>50</v>
      </c>
      <c r="J5" s="6">
        <v>50</v>
      </c>
      <c r="K5" s="6">
        <v>50</v>
      </c>
      <c r="L5" s="6">
        <v>50</v>
      </c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x14ac:dyDescent="0.25">
      <c r="A7" s="6" t="s">
        <v>124</v>
      </c>
      <c r="B7" s="6"/>
      <c r="C7" s="44">
        <f t="shared" ref="C7:L7" si="0">SUM(C2:C5)</f>
        <v>3795.9079999999999</v>
      </c>
      <c r="D7" s="44">
        <f t="shared" si="0"/>
        <v>3531.558</v>
      </c>
      <c r="E7" s="44">
        <f t="shared" si="0"/>
        <v>3622.6433599999996</v>
      </c>
      <c r="F7" s="44">
        <f t="shared" si="0"/>
        <v>3712.8427787199998</v>
      </c>
      <c r="G7" s="44">
        <f t="shared" si="0"/>
        <v>3805.4272597454406</v>
      </c>
      <c r="H7" s="44">
        <f t="shared" si="0"/>
        <v>3897.0433324988221</v>
      </c>
      <c r="I7" s="44">
        <f t="shared" si="0"/>
        <v>3987.4294408112924</v>
      </c>
      <c r="J7" s="44">
        <f t="shared" si="0"/>
        <v>4080.0209768315744</v>
      </c>
      <c r="K7" s="44">
        <f t="shared" si="0"/>
        <v>4171.1884962755321</v>
      </c>
      <c r="L7" s="44">
        <f t="shared" si="0"/>
        <v>4264.4851001861452</v>
      </c>
      <c r="M7" s="43">
        <f>SUM(Tabela5[[#This Row],[2026]:[2035]])</f>
        <v>38868.546745068808</v>
      </c>
    </row>
  </sheetData>
  <phoneticPr fontId="5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U 3 G W n h 0 / j q k A A A A 9 g A A A B I A H A B D b 2 5 m a W c v U G F j a 2 F n Z S 5 4 b W w g o h g A K K A U A A A A A A A A A A A A A A A A A A A A A A A A A A A A h Y 8 x D o I w G I W v Q r r T F j B q y E 8 Z X C E h M T G u T a n Q C I X Q Y r m b g 0 f y C m I U d X N 8 3 / u G 9 + 7 X G 6 R T 2 3 g X O R j V 6 Q Q F m C J P a t G V S l c J G u 3 J 3 6 K U Q c H F m V f S m 2 V t 4 s m U C a q t 7 W N C n H P Y R b g b K h J S G p B j n u 1 F L V u O P r L 6 L / t K G 8 u 1 k I j B 4 T W G h T h Y R T j Y r D E F s k D I l f 4 K 4 b z 3 2 f 5 A 2 I 2 N H Q f J + s Y v M i B L B P L + w B 5 Q S w M E F A A C A A g A d U 3 G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V N x l o o i k e 4 D g A A A B E A A A A T A B w A R m 9 y b X V s Y X M v U 2 V j d G l v b j E u b S C i G A A o o B Q A A A A A A A A A A A A A A A A A A A A A A A A A A A A r T k 0 u y c z P U w i G 0 I b W A F B L A Q I t A B Q A A g A I A H V N x l p 4 d P 4 6 p A A A A P Y A A A A S A A A A A A A A A A A A A A A A A A A A A A B D b 2 5 m a W c v U G F j a 2 F n Z S 5 4 b W x Q S w E C L Q A U A A I A C A B 1 T c Z a D 8 r p q 6 Q A A A D p A A A A E w A A A A A A A A A A A A A A A A D w A A A A W 0 N v b n R l b n R f V H l w Z X N d L n h t b F B L A Q I t A B Q A A g A I A H V N x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M n + Y N a v N S K Y 4 d 9 4 + E c F 8 A A A A A A I A A A A A A B B m A A A A A Q A A I A A A A I r 4 Q S o R 5 8 s B Z Y O y i C j r n h c T W r 7 m M v T 4 V m i X B D G t q G X 4 A A A A A A 6 A A A A A A g A A I A A A A O r 4 F W d S M O Q m a z 2 G n Z Z e + X e j y H u n H U c 3 n 5 l q 1 r 6 3 p R h 1 U A A A A L Q j e 9 Q o 4 y 2 W X 9 d T D C X u G h P T A R c O 1 D 8 k J v Q u + U S Z 9 H 4 y G D j V c C y Q 2 O 8 P i + y v X 2 N n z Y Z U 5 l m d a u Y g L j c r H I G O 0 G p u k Y 1 H l N m U L I / a 4 g d f v c 8 b Q A A A A N K 7 V F H S / I F D y J C f c C H 6 Y K 2 3 L Z 2 v U T p W F y B Y 3 s p H O K w I y M w E O X h M e M 9 Z S J N 9 A z M t w b O 5 G q 0 N 7 2 d 3 2 f p p w 1 q w O C M = < / D a t a M a s h u p > 
</file>

<file path=customXml/itemProps1.xml><?xml version="1.0" encoding="utf-8"?>
<ds:datastoreItem xmlns:ds="http://schemas.openxmlformats.org/officeDocument/2006/customXml" ds:itemID="{776E5579-53A0-477D-8B36-B0A98F3F94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Kalkulacja kosztów do OSR</vt:lpstr>
      <vt:lpstr>Pracochłonność etatów MKiŚ-MRiT</vt:lpstr>
      <vt:lpstr>Centrum Analiz Surowcowych  </vt:lpstr>
      <vt:lpstr>Wyliczenia do OSR SUMA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Kucharska Natalia</dc:creator>
  <cp:lastModifiedBy>Aneta Smaś</cp:lastModifiedBy>
  <dcterms:created xsi:type="dcterms:W3CDTF">2024-04-04T08:28:38Z</dcterms:created>
  <dcterms:modified xsi:type="dcterms:W3CDTF">2025-09-08T12:49:51Z</dcterms:modified>
</cp:coreProperties>
</file>