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\Desktop\"/>
    </mc:Choice>
  </mc:AlternateContent>
  <xr:revisionPtr revIDLastSave="0" documentId="8_{168A7D82-B5B1-43B0-860B-FF6CFA04C7E5}" xr6:coauthVersionLast="36" xr6:coauthVersionMax="36" xr10:uidLastSave="{00000000-0000-0000-0000-000000000000}"/>
  <bookViews>
    <workbookView xWindow="0" yWindow="0" windowWidth="28800" windowHeight="12105" activeTab="2" xr2:uid="{A528C625-44C5-41BA-947F-E9F49DEB7BAD}"/>
  </bookViews>
  <sheets>
    <sheet name="OSR tabela 6 " sheetId="6" r:id="rId1"/>
    <sheet name="Podsumowanie" sheetId="5" r:id="rId2"/>
    <sheet name="wynagrodzenia i koszty zatrudn 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30" i="5" l="1"/>
  <c r="Q29" i="5"/>
  <c r="Q28" i="5"/>
  <c r="Q27" i="5"/>
  <c r="Q26" i="5"/>
  <c r="Q25" i="5"/>
  <c r="Q24" i="5"/>
  <c r="Q23" i="5"/>
  <c r="Q22" i="5"/>
  <c r="Q21" i="5"/>
  <c r="Q18" i="5"/>
  <c r="Q14" i="5"/>
  <c r="Q13" i="5"/>
  <c r="Q12" i="5"/>
  <c r="Q11" i="5"/>
  <c r="M3" i="6"/>
  <c r="K21" i="6"/>
  <c r="I21" i="6"/>
  <c r="C21" i="6"/>
  <c r="E21" i="6"/>
  <c r="G21" i="6"/>
  <c r="C14" i="6"/>
  <c r="D14" i="6"/>
  <c r="E14" i="6"/>
  <c r="F14" i="6"/>
  <c r="G14" i="6"/>
  <c r="H14" i="6"/>
  <c r="I14" i="6"/>
  <c r="J14" i="6"/>
  <c r="K14" i="6"/>
  <c r="L14" i="6"/>
  <c r="B22" i="6" l="1"/>
  <c r="M13" i="6"/>
  <c r="B12" i="6"/>
  <c r="B11" i="6"/>
  <c r="B10" i="6"/>
  <c r="B9" i="6"/>
  <c r="B8" i="6"/>
  <c r="B7" i="6"/>
  <c r="B6" i="6"/>
  <c r="D21" i="6"/>
  <c r="F21" i="6"/>
  <c r="H21" i="6"/>
  <c r="J21" i="6"/>
  <c r="L21" i="6"/>
  <c r="B21" i="6"/>
  <c r="D20" i="6"/>
  <c r="E20" i="6"/>
  <c r="F20" i="6"/>
  <c r="G20" i="6"/>
  <c r="H20" i="6"/>
  <c r="I20" i="6"/>
  <c r="J20" i="6"/>
  <c r="K20" i="6"/>
  <c r="L20" i="6"/>
  <c r="D16" i="6"/>
  <c r="E16" i="6"/>
  <c r="F16" i="6"/>
  <c r="G16" i="6"/>
  <c r="H16" i="6"/>
  <c r="I16" i="6"/>
  <c r="J16" i="6"/>
  <c r="K16" i="6"/>
  <c r="L16" i="6"/>
  <c r="C16" i="6"/>
  <c r="C20" i="6" s="1"/>
  <c r="B16" i="6"/>
  <c r="B20" i="6" s="1"/>
  <c r="M17" i="6"/>
  <c r="M21" i="6" s="1"/>
  <c r="M16" i="6"/>
  <c r="M20" i="6" s="1"/>
  <c r="F15" i="5"/>
  <c r="F17" i="5" s="1"/>
  <c r="G33" i="1"/>
  <c r="B14" i="6" l="1"/>
  <c r="M14" i="6"/>
  <c r="B4" i="6"/>
  <c r="B3" i="6" s="1"/>
  <c r="B18" i="6" l="1"/>
  <c r="D42" i="1"/>
  <c r="D41" i="1"/>
  <c r="D40" i="1"/>
  <c r="I50" i="1"/>
  <c r="E40" i="1" l="1"/>
  <c r="G3" i="1"/>
  <c r="C46" i="1"/>
  <c r="G15" i="1" l="1"/>
  <c r="G19" i="1" s="1"/>
  <c r="E24" i="1"/>
  <c r="G17" i="1" l="1"/>
  <c r="G18" i="1"/>
  <c r="E25" i="1"/>
  <c r="E32" i="1" l="1"/>
  <c r="E26" i="1"/>
  <c r="E22" i="1"/>
  <c r="E59" i="1" l="1"/>
  <c r="E23" i="1"/>
  <c r="F20" i="1"/>
  <c r="F19" i="1"/>
  <c r="F18" i="1"/>
  <c r="F17" i="1"/>
  <c r="E17" i="1"/>
  <c r="E18" i="1" s="1"/>
  <c r="E19" i="1" s="1"/>
  <c r="E20" i="1" s="1"/>
  <c r="H16" i="1"/>
  <c r="F16" i="1"/>
  <c r="F14" i="1"/>
  <c r="F13" i="1"/>
  <c r="F12" i="1"/>
  <c r="F11" i="1"/>
  <c r="E11" i="1"/>
  <c r="E12" i="1" s="1"/>
  <c r="E13" i="1" s="1"/>
  <c r="E14" i="1" s="1"/>
  <c r="H10" i="1"/>
  <c r="F10" i="1"/>
  <c r="H4" i="1"/>
  <c r="E42" i="1"/>
  <c r="F42" i="1" s="1"/>
  <c r="G42" i="1" s="1"/>
  <c r="H42" i="1" s="1"/>
  <c r="I42" i="1" s="1"/>
  <c r="J42" i="1" s="1"/>
  <c r="K42" i="1" s="1"/>
  <c r="L42" i="1" s="1"/>
  <c r="M42" i="1" s="1"/>
  <c r="N42" i="1" s="1"/>
  <c r="O42" i="1" s="1"/>
  <c r="G20" i="1" l="1"/>
  <c r="H20" i="1" s="1"/>
  <c r="I20" i="1" s="1"/>
  <c r="J20" i="1" s="1"/>
  <c r="K20" i="1" s="1"/>
  <c r="L20" i="1" s="1"/>
  <c r="M20" i="1" s="1"/>
  <c r="N20" i="1" s="1"/>
  <c r="O20" i="1" s="1"/>
  <c r="P20" i="1" s="1"/>
  <c r="Q20" i="1" s="1"/>
  <c r="G14" i="1"/>
  <c r="H14" i="1" s="1"/>
  <c r="I14" i="1" s="1"/>
  <c r="J14" i="1" s="1"/>
  <c r="K14" i="1" s="1"/>
  <c r="L14" i="1" s="1"/>
  <c r="M14" i="1" s="1"/>
  <c r="N14" i="1" s="1"/>
  <c r="O14" i="1" s="1"/>
  <c r="P14" i="1" s="1"/>
  <c r="Q14" i="1" s="1"/>
  <c r="F40" i="1"/>
  <c r="G40" i="1" s="1"/>
  <c r="H40" i="1" s="1"/>
  <c r="H3" i="1" s="1"/>
  <c r="G9" i="1"/>
  <c r="E41" i="1"/>
  <c r="F41" i="1" s="1"/>
  <c r="G41" i="1" s="1"/>
  <c r="H41" i="1" s="1"/>
  <c r="I41" i="1" s="1"/>
  <c r="J41" i="1" s="1"/>
  <c r="K41" i="1" s="1"/>
  <c r="L41" i="1" s="1"/>
  <c r="M41" i="1" s="1"/>
  <c r="N41" i="1" s="1"/>
  <c r="O41" i="1" s="1"/>
  <c r="O9" i="1" s="1"/>
  <c r="E62" i="1" l="1"/>
  <c r="E53" i="1"/>
  <c r="E57" i="1"/>
  <c r="E58" i="1"/>
  <c r="E56" i="1"/>
  <c r="E55" i="1"/>
  <c r="E54" i="1"/>
  <c r="E61" i="1"/>
  <c r="E60" i="1"/>
  <c r="I40" i="1"/>
  <c r="G13" i="1"/>
  <c r="G12" i="1"/>
  <c r="G11" i="1"/>
  <c r="P41" i="1"/>
  <c r="Q41" i="1" s="1"/>
  <c r="P42" i="1"/>
  <c r="Q42" i="1" s="1"/>
  <c r="E65" i="1" l="1"/>
  <c r="E64" i="1"/>
  <c r="E63" i="1"/>
  <c r="J40" i="1"/>
  <c r="K40" i="1" s="1"/>
  <c r="L40" i="1" s="1"/>
  <c r="M40" i="1" s="1"/>
  <c r="N40" i="1" s="1"/>
  <c r="O40" i="1" s="1"/>
  <c r="P40" i="1" s="1"/>
  <c r="Q40" i="1" s="1"/>
  <c r="I3" i="1"/>
  <c r="H7" i="1"/>
  <c r="H6" i="1"/>
  <c r="H15" i="1"/>
  <c r="H9" i="1"/>
  <c r="I9" i="1"/>
  <c r="I15" i="1"/>
  <c r="J15" i="1"/>
  <c r="J9" i="1"/>
  <c r="K15" i="1"/>
  <c r="K9" i="1"/>
  <c r="L9" i="1"/>
  <c r="L15" i="1"/>
  <c r="M15" i="1"/>
  <c r="M9" i="1"/>
  <c r="N9" i="1"/>
  <c r="N15" i="1"/>
  <c r="O15" i="1"/>
  <c r="P9" i="1"/>
  <c r="P15" i="1"/>
  <c r="Q9" i="1"/>
  <c r="Q15" i="1"/>
  <c r="E5" i="1"/>
  <c r="E6" i="1" s="1"/>
  <c r="E7" i="1" s="1"/>
  <c r="E8" i="1" s="1"/>
  <c r="F4" i="1"/>
  <c r="F5" i="1"/>
  <c r="F6" i="1"/>
  <c r="F7" i="1"/>
  <c r="F8" i="1"/>
  <c r="F25" i="1"/>
  <c r="G25" i="1" s="1"/>
  <c r="H25" i="1" s="1"/>
  <c r="F27" i="1"/>
  <c r="F28" i="1"/>
  <c r="F29" i="1"/>
  <c r="F30" i="1"/>
  <c r="F31" i="1"/>
  <c r="G6" i="1"/>
  <c r="F62" i="1" l="1"/>
  <c r="G62" i="1"/>
  <c r="G25" i="5"/>
  <c r="G55" i="1"/>
  <c r="H28" i="5" s="1"/>
  <c r="D11" i="6" s="1"/>
  <c r="G57" i="1"/>
  <c r="G58" i="1"/>
  <c r="G59" i="1"/>
  <c r="G60" i="1"/>
  <c r="G53" i="1"/>
  <c r="G54" i="1"/>
  <c r="H27" i="5" s="1"/>
  <c r="G56" i="1"/>
  <c r="G61" i="1"/>
  <c r="F59" i="1"/>
  <c r="F58" i="1"/>
  <c r="F55" i="1"/>
  <c r="F54" i="1"/>
  <c r="G27" i="5" s="1"/>
  <c r="F56" i="1"/>
  <c r="F60" i="1"/>
  <c r="F61" i="1"/>
  <c r="F53" i="1"/>
  <c r="F57" i="1"/>
  <c r="J3" i="1"/>
  <c r="J10" i="1"/>
  <c r="I10" i="1"/>
  <c r="I11" i="1" s="1"/>
  <c r="H11" i="1"/>
  <c r="H13" i="1"/>
  <c r="H12" i="1"/>
  <c r="O16" i="1"/>
  <c r="O17" i="1" s="1"/>
  <c r="K10" i="1"/>
  <c r="K11" i="1" s="1"/>
  <c r="P16" i="1"/>
  <c r="P17" i="1" s="1"/>
  <c r="K16" i="1"/>
  <c r="K17" i="1" s="1"/>
  <c r="N10" i="1"/>
  <c r="N12" i="1" s="1"/>
  <c r="J16" i="1"/>
  <c r="J17" i="1" s="1"/>
  <c r="N16" i="1"/>
  <c r="N17" i="1" s="1"/>
  <c r="O10" i="1"/>
  <c r="Q16" i="1"/>
  <c r="Q17" i="1" s="1"/>
  <c r="M16" i="1"/>
  <c r="M17" i="1" s="1"/>
  <c r="Q10" i="1"/>
  <c r="Q12" i="1" s="1"/>
  <c r="M10" i="1"/>
  <c r="M11" i="1" s="1"/>
  <c r="H18" i="1"/>
  <c r="H19" i="1"/>
  <c r="I16" i="1"/>
  <c r="I17" i="1" s="1"/>
  <c r="H17" i="1"/>
  <c r="L16" i="1"/>
  <c r="L17" i="1" s="1"/>
  <c r="P10" i="1"/>
  <c r="P11" i="1" s="1"/>
  <c r="L10" i="1"/>
  <c r="L11" i="1" s="1"/>
  <c r="G8" i="1"/>
  <c r="H8" i="1" s="1"/>
  <c r="G5" i="1"/>
  <c r="G7" i="1"/>
  <c r="G22" i="1"/>
  <c r="H22" i="1" s="1"/>
  <c r="C9" i="6" l="1"/>
  <c r="H62" i="1"/>
  <c r="G35" i="1"/>
  <c r="G26" i="5"/>
  <c r="F65" i="1"/>
  <c r="G28" i="5"/>
  <c r="I25" i="5"/>
  <c r="E9" i="6" s="1"/>
  <c r="G64" i="1"/>
  <c r="G65" i="1"/>
  <c r="H26" i="5"/>
  <c r="H30" i="5" s="1"/>
  <c r="D10" i="6" s="1"/>
  <c r="G34" i="1"/>
  <c r="H25" i="5"/>
  <c r="D9" i="6" s="1"/>
  <c r="F64" i="1"/>
  <c r="H55" i="1"/>
  <c r="H56" i="1"/>
  <c r="H59" i="1"/>
  <c r="H57" i="1"/>
  <c r="H58" i="1"/>
  <c r="H60" i="1"/>
  <c r="H53" i="1"/>
  <c r="H61" i="1"/>
  <c r="H54" i="1"/>
  <c r="I27" i="5" s="1"/>
  <c r="F63" i="1"/>
  <c r="G63" i="1"/>
  <c r="I8" i="1"/>
  <c r="O18" i="1"/>
  <c r="O19" i="1"/>
  <c r="K13" i="1"/>
  <c r="I12" i="1"/>
  <c r="I13" i="1"/>
  <c r="K12" i="1"/>
  <c r="M12" i="1"/>
  <c r="I19" i="1"/>
  <c r="O11" i="1"/>
  <c r="O12" i="1"/>
  <c r="J12" i="1"/>
  <c r="J11" i="1"/>
  <c r="P12" i="1"/>
  <c r="J19" i="1"/>
  <c r="L12" i="1"/>
  <c r="J18" i="1"/>
  <c r="P19" i="1"/>
  <c r="K18" i="1"/>
  <c r="K19" i="1"/>
  <c r="M13" i="1"/>
  <c r="O13" i="1"/>
  <c r="L13" i="1"/>
  <c r="J13" i="1"/>
  <c r="Q13" i="1"/>
  <c r="Q11" i="1"/>
  <c r="M18" i="1"/>
  <c r="N11" i="1"/>
  <c r="M19" i="1"/>
  <c r="Q18" i="1"/>
  <c r="P18" i="1"/>
  <c r="Q19" i="1"/>
  <c r="N13" i="1"/>
  <c r="I18" i="1"/>
  <c r="N18" i="1"/>
  <c r="L19" i="1"/>
  <c r="N19" i="1"/>
  <c r="P13" i="1"/>
  <c r="L18" i="1"/>
  <c r="G30" i="5" l="1"/>
  <c r="C11" i="6"/>
  <c r="G36" i="1"/>
  <c r="H24" i="5"/>
  <c r="I28" i="5"/>
  <c r="E11" i="6" s="1"/>
  <c r="G24" i="5"/>
  <c r="H65" i="1"/>
  <c r="I26" i="5"/>
  <c r="I30" i="5" s="1"/>
  <c r="E10" i="6" s="1"/>
  <c r="H63" i="1"/>
  <c r="J8" i="1"/>
  <c r="H64" i="1"/>
  <c r="G23" i="1"/>
  <c r="H23" i="1" s="1"/>
  <c r="C10" i="6" l="1"/>
  <c r="H23" i="5"/>
  <c r="D7" i="6" s="1"/>
  <c r="D8" i="6"/>
  <c r="G23" i="5"/>
  <c r="C8" i="6"/>
  <c r="I24" i="5"/>
  <c r="K8" i="1"/>
  <c r="I4" i="1"/>
  <c r="H5" i="1"/>
  <c r="H35" i="1" s="1"/>
  <c r="G24" i="1"/>
  <c r="H24" i="1" s="1"/>
  <c r="I24" i="1" s="1"/>
  <c r="J24" i="1" s="1"/>
  <c r="K24" i="1" s="1"/>
  <c r="C7" i="6" l="1"/>
  <c r="I23" i="5"/>
  <c r="E7" i="6" s="1"/>
  <c r="E8" i="6"/>
  <c r="H36" i="1"/>
  <c r="G21" i="5"/>
  <c r="L8" i="1"/>
  <c r="H34" i="1"/>
  <c r="G12" i="5" s="1"/>
  <c r="I5" i="1"/>
  <c r="G26" i="1"/>
  <c r="H26" i="1" s="1"/>
  <c r="E27" i="1"/>
  <c r="C6" i="6" l="1"/>
  <c r="C4" i="6" s="1"/>
  <c r="G22" i="5"/>
  <c r="M8" i="1"/>
  <c r="K3" i="1"/>
  <c r="I62" i="1" s="1"/>
  <c r="I6" i="1"/>
  <c r="J4" i="1"/>
  <c r="I7" i="1"/>
  <c r="G27" i="1"/>
  <c r="H27" i="1" s="1"/>
  <c r="I27" i="1" s="1"/>
  <c r="J27" i="1" s="1"/>
  <c r="E28" i="1"/>
  <c r="C12" i="6" l="1"/>
  <c r="C22" i="6" s="1"/>
  <c r="C3" i="6"/>
  <c r="J25" i="5"/>
  <c r="I35" i="1"/>
  <c r="I61" i="1"/>
  <c r="I55" i="1"/>
  <c r="I56" i="1"/>
  <c r="I57" i="1"/>
  <c r="I59" i="1"/>
  <c r="I60" i="1"/>
  <c r="I53" i="1"/>
  <c r="I54" i="1"/>
  <c r="J27" i="5" s="1"/>
  <c r="I58" i="1"/>
  <c r="N8" i="1"/>
  <c r="I34" i="1"/>
  <c r="H12" i="5" s="1"/>
  <c r="I25" i="1"/>
  <c r="J25" i="1" s="1"/>
  <c r="K25" i="1" s="1"/>
  <c r="L25" i="1" s="1"/>
  <c r="M25" i="1" s="1"/>
  <c r="N25" i="1" s="1"/>
  <c r="O25" i="1" s="1"/>
  <c r="P25" i="1" s="1"/>
  <c r="Q25" i="1" s="1"/>
  <c r="G28" i="1"/>
  <c r="E29" i="1"/>
  <c r="J7" i="1"/>
  <c r="K4" i="1"/>
  <c r="K5" i="1" s="1"/>
  <c r="J6" i="1"/>
  <c r="L3" i="1"/>
  <c r="J62" i="1" s="1"/>
  <c r="J5" i="1"/>
  <c r="J35" i="1" s="1"/>
  <c r="C18" i="6" l="1"/>
  <c r="F9" i="6"/>
  <c r="H21" i="5"/>
  <c r="I36" i="1"/>
  <c r="J28" i="5"/>
  <c r="I65" i="1"/>
  <c r="J26" i="5"/>
  <c r="K25" i="5"/>
  <c r="G9" i="6" s="1"/>
  <c r="I64" i="1"/>
  <c r="I63" i="1"/>
  <c r="J53" i="1"/>
  <c r="J57" i="1"/>
  <c r="J58" i="1"/>
  <c r="J54" i="1"/>
  <c r="K27" i="5" s="1"/>
  <c r="J55" i="1"/>
  <c r="J56" i="1"/>
  <c r="J59" i="1"/>
  <c r="J60" i="1"/>
  <c r="J61" i="1"/>
  <c r="O8" i="1"/>
  <c r="J34" i="1"/>
  <c r="I12" i="5" s="1"/>
  <c r="G29" i="1"/>
  <c r="K6" i="1"/>
  <c r="K7" i="1"/>
  <c r="L4" i="1"/>
  <c r="M3" i="1"/>
  <c r="K62" i="1" s="1"/>
  <c r="D6" i="6" l="1"/>
  <c r="D4" i="6" s="1"/>
  <c r="F11" i="6"/>
  <c r="J30" i="5"/>
  <c r="L25" i="5"/>
  <c r="J65" i="1"/>
  <c r="K26" i="5"/>
  <c r="K30" i="5" s="1"/>
  <c r="G10" i="6" s="1"/>
  <c r="J24" i="5"/>
  <c r="K28" i="5"/>
  <c r="G11" i="6" s="1"/>
  <c r="J64" i="1"/>
  <c r="H22" i="5"/>
  <c r="J36" i="1"/>
  <c r="I21" i="5"/>
  <c r="E6" i="6" s="1"/>
  <c r="E4" i="6" s="1"/>
  <c r="K60" i="1"/>
  <c r="K53" i="1"/>
  <c r="K61" i="1"/>
  <c r="K54" i="1"/>
  <c r="L27" i="5" s="1"/>
  <c r="K55" i="1"/>
  <c r="K56" i="1"/>
  <c r="K57" i="1"/>
  <c r="K58" i="1"/>
  <c r="K59" i="1"/>
  <c r="P8" i="1"/>
  <c r="J63" i="1"/>
  <c r="K35" i="1"/>
  <c r="K34" i="1"/>
  <c r="J12" i="5" s="1"/>
  <c r="L5" i="1"/>
  <c r="G30" i="1"/>
  <c r="H30" i="1" s="1"/>
  <c r="E31" i="1"/>
  <c r="M4" i="1"/>
  <c r="L6" i="1"/>
  <c r="L7" i="1"/>
  <c r="F10" i="6" l="1"/>
  <c r="F8" i="6"/>
  <c r="D12" i="6"/>
  <c r="D22" i="6" s="1"/>
  <c r="H9" i="6"/>
  <c r="K64" i="1"/>
  <c r="K24" i="5"/>
  <c r="K65" i="1"/>
  <c r="L26" i="5"/>
  <c r="L30" i="5" s="1"/>
  <c r="H10" i="6" s="1"/>
  <c r="L24" i="5"/>
  <c r="H8" i="6" s="1"/>
  <c r="L28" i="5"/>
  <c r="J23" i="5"/>
  <c r="I22" i="5"/>
  <c r="E12" i="6" s="1"/>
  <c r="E22" i="6" s="1"/>
  <c r="K63" i="1"/>
  <c r="Q8" i="1"/>
  <c r="K36" i="1"/>
  <c r="J21" i="5"/>
  <c r="L35" i="1"/>
  <c r="L34" i="1"/>
  <c r="K12" i="5" s="1"/>
  <c r="I30" i="1"/>
  <c r="J30" i="1" s="1"/>
  <c r="K30" i="1" s="1"/>
  <c r="L30" i="1" s="1"/>
  <c r="M30" i="1" s="1"/>
  <c r="N30" i="1" s="1"/>
  <c r="O30" i="1" s="1"/>
  <c r="P30" i="1" s="1"/>
  <c r="Q30" i="1" s="1"/>
  <c r="N3" i="1"/>
  <c r="L62" i="1" s="1"/>
  <c r="G32" i="1"/>
  <c r="H32" i="1" s="1"/>
  <c r="G31" i="1"/>
  <c r="M5" i="1"/>
  <c r="N4" i="1"/>
  <c r="M6" i="1"/>
  <c r="M7" i="1"/>
  <c r="D3" i="6" l="1"/>
  <c r="F6" i="6"/>
  <c r="K23" i="5"/>
  <c r="G7" i="6" s="1"/>
  <c r="G8" i="6"/>
  <c r="F7" i="6"/>
  <c r="H11" i="6"/>
  <c r="E3" i="6"/>
  <c r="E18" i="6" s="1"/>
  <c r="L23" i="5"/>
  <c r="H7" i="6" s="1"/>
  <c r="J22" i="5"/>
  <c r="M25" i="5"/>
  <c r="L58" i="1"/>
  <c r="L60" i="1"/>
  <c r="L54" i="1"/>
  <c r="M27" i="5" s="1"/>
  <c r="L55" i="1"/>
  <c r="L53" i="1"/>
  <c r="L61" i="1"/>
  <c r="L57" i="1"/>
  <c r="L59" i="1"/>
  <c r="L56" i="1"/>
  <c r="L36" i="1"/>
  <c r="K21" i="5"/>
  <c r="G6" i="6" s="1"/>
  <c r="M35" i="1"/>
  <c r="M34" i="1"/>
  <c r="L12" i="5" s="1"/>
  <c r="O4" i="1"/>
  <c r="H31" i="1"/>
  <c r="I31" i="1" s="1"/>
  <c r="J31" i="1" s="1"/>
  <c r="K31" i="1" s="1"/>
  <c r="L31" i="1" s="1"/>
  <c r="M31" i="1" s="1"/>
  <c r="N31" i="1" s="1"/>
  <c r="O31" i="1" s="1"/>
  <c r="P31" i="1" s="1"/>
  <c r="Q31" i="1" s="1"/>
  <c r="N5" i="1"/>
  <c r="O3" i="1"/>
  <c r="M62" i="1" s="1"/>
  <c r="N7" i="1"/>
  <c r="L24" i="1"/>
  <c r="M24" i="1" s="1"/>
  <c r="N6" i="1"/>
  <c r="F4" i="6" l="1"/>
  <c r="I9" i="6"/>
  <c r="D18" i="6"/>
  <c r="F12" i="6"/>
  <c r="F22" i="6" s="1"/>
  <c r="G4" i="6"/>
  <c r="L65" i="1"/>
  <c r="M26" i="5"/>
  <c r="M30" i="5" s="1"/>
  <c r="M28" i="5"/>
  <c r="N25" i="5"/>
  <c r="J9" i="6" s="1"/>
  <c r="K22" i="5"/>
  <c r="G12" i="6" s="1"/>
  <c r="G22" i="6" s="1"/>
  <c r="M36" i="1"/>
  <c r="L21" i="5"/>
  <c r="M58" i="1"/>
  <c r="M59" i="1"/>
  <c r="M60" i="1"/>
  <c r="M53" i="1"/>
  <c r="M61" i="1"/>
  <c r="M55" i="1"/>
  <c r="M54" i="1"/>
  <c r="N27" i="5" s="1"/>
  <c r="M56" i="1"/>
  <c r="M57" i="1"/>
  <c r="L63" i="1"/>
  <c r="L64" i="1"/>
  <c r="N35" i="1"/>
  <c r="H33" i="1"/>
  <c r="N34" i="1"/>
  <c r="M12" i="5" s="1"/>
  <c r="O5" i="1"/>
  <c r="P3" i="1"/>
  <c r="N62" i="1" s="1"/>
  <c r="Q3" i="1"/>
  <c r="P4" i="1"/>
  <c r="O7" i="1"/>
  <c r="O6" i="1"/>
  <c r="K27" i="1"/>
  <c r="I10" i="6" l="1"/>
  <c r="I11" i="6"/>
  <c r="H6" i="6"/>
  <c r="H4" i="6" s="1"/>
  <c r="H3" i="6" s="1"/>
  <c r="H18" i="6" s="1"/>
  <c r="G3" i="6"/>
  <c r="G18" i="6" s="1"/>
  <c r="F3" i="6"/>
  <c r="O62" i="1"/>
  <c r="P25" i="5" s="1"/>
  <c r="M65" i="1"/>
  <c r="N26" i="5"/>
  <c r="N30" i="5" s="1"/>
  <c r="J10" i="6" s="1"/>
  <c r="M24" i="5"/>
  <c r="I8" i="6" s="1"/>
  <c r="N28" i="5"/>
  <c r="J11" i="6" s="1"/>
  <c r="M64" i="1"/>
  <c r="O25" i="5"/>
  <c r="K9" i="6" s="1"/>
  <c r="L22" i="5"/>
  <c r="H12" i="6" s="1"/>
  <c r="H22" i="6" s="1"/>
  <c r="M63" i="1"/>
  <c r="O56" i="1"/>
  <c r="O53" i="1"/>
  <c r="O57" i="1"/>
  <c r="O58" i="1"/>
  <c r="O61" i="1"/>
  <c r="O59" i="1"/>
  <c r="O60" i="1"/>
  <c r="O54" i="1"/>
  <c r="P27" i="5" s="1"/>
  <c r="O55" i="1"/>
  <c r="N58" i="1"/>
  <c r="N59" i="1"/>
  <c r="N60" i="1"/>
  <c r="N61" i="1"/>
  <c r="N54" i="1"/>
  <c r="O27" i="5" s="1"/>
  <c r="N53" i="1"/>
  <c r="N55" i="1"/>
  <c r="N56" i="1"/>
  <c r="N57" i="1"/>
  <c r="N36" i="1"/>
  <c r="M21" i="5"/>
  <c r="I6" i="6" s="1"/>
  <c r="O35" i="1"/>
  <c r="O34" i="1"/>
  <c r="N12" i="5" s="1"/>
  <c r="Q4" i="1"/>
  <c r="P7" i="1"/>
  <c r="P6" i="1"/>
  <c r="P5" i="1"/>
  <c r="N24" i="1"/>
  <c r="O24" i="1" s="1"/>
  <c r="L27" i="1"/>
  <c r="F18" i="6" l="1"/>
  <c r="L9" i="6"/>
  <c r="M9" i="6"/>
  <c r="P35" i="1"/>
  <c r="O28" i="5"/>
  <c r="K11" i="6" s="1"/>
  <c r="N65" i="1"/>
  <c r="O26" i="5"/>
  <c r="O30" i="5" s="1"/>
  <c r="K10" i="6" s="1"/>
  <c r="M23" i="5"/>
  <c r="M22" i="5"/>
  <c r="I12" i="6" s="1"/>
  <c r="I22" i="6" s="1"/>
  <c r="O65" i="1"/>
  <c r="P26" i="5"/>
  <c r="N24" i="5"/>
  <c r="P28" i="5"/>
  <c r="O64" i="1"/>
  <c r="O21" i="5"/>
  <c r="K6" i="6" s="1"/>
  <c r="N64" i="1"/>
  <c r="N63" i="1"/>
  <c r="O63" i="1"/>
  <c r="O36" i="1"/>
  <c r="N21" i="5"/>
  <c r="P34" i="1"/>
  <c r="O12" i="5" s="1"/>
  <c r="Q5" i="1"/>
  <c r="Q6" i="1"/>
  <c r="Q7" i="1"/>
  <c r="P24" i="1"/>
  <c r="Q24" i="1" s="1"/>
  <c r="M27" i="1"/>
  <c r="I32" i="1"/>
  <c r="J6" i="6" l="1"/>
  <c r="N23" i="5"/>
  <c r="J7" i="6" s="1"/>
  <c r="J8" i="6"/>
  <c r="I7" i="6"/>
  <c r="I4" i="6" s="1"/>
  <c r="I3" i="6" s="1"/>
  <c r="L11" i="6"/>
  <c r="M11" i="6"/>
  <c r="Q35" i="1"/>
  <c r="P36" i="1"/>
  <c r="O24" i="5"/>
  <c r="P30" i="5"/>
  <c r="N22" i="5"/>
  <c r="J12" i="6" s="1"/>
  <c r="J22" i="6" s="1"/>
  <c r="P24" i="5"/>
  <c r="O22" i="5"/>
  <c r="K12" i="6" s="1"/>
  <c r="K22" i="6" s="1"/>
  <c r="Q34" i="1"/>
  <c r="P12" i="5" s="1"/>
  <c r="J32" i="1"/>
  <c r="I33" i="1"/>
  <c r="N27" i="1"/>
  <c r="O27" i="1" s="1"/>
  <c r="I18" i="6" l="1"/>
  <c r="L8" i="6"/>
  <c r="M8" i="6"/>
  <c r="L10" i="6"/>
  <c r="M10" i="6"/>
  <c r="O23" i="5"/>
  <c r="K7" i="6" s="1"/>
  <c r="K4" i="6" s="1"/>
  <c r="K3" i="6" s="1"/>
  <c r="K18" i="6" s="1"/>
  <c r="K8" i="6"/>
  <c r="J4" i="6"/>
  <c r="J3" i="6" s="1"/>
  <c r="J18" i="6" s="1"/>
  <c r="P23" i="5"/>
  <c r="Q36" i="1"/>
  <c r="P21" i="5"/>
  <c r="P27" i="1"/>
  <c r="K32" i="1"/>
  <c r="J33" i="1"/>
  <c r="L7" i="6" l="1"/>
  <c r="M7" i="6"/>
  <c r="L6" i="6"/>
  <c r="L4" i="6" s="1"/>
  <c r="M6" i="6"/>
  <c r="P22" i="5"/>
  <c r="Q27" i="1"/>
  <c r="L32" i="1"/>
  <c r="K33" i="1"/>
  <c r="M4" i="6" l="1"/>
  <c r="L12" i="6"/>
  <c r="L22" i="6" s="1"/>
  <c r="M12" i="6"/>
  <c r="M22" i="6" s="1"/>
  <c r="L3" i="6"/>
  <c r="M32" i="1"/>
  <c r="L33" i="1"/>
  <c r="L18" i="6" l="1"/>
  <c r="M18" i="6" s="1"/>
  <c r="N32" i="1"/>
  <c r="M33" i="1"/>
  <c r="N33" i="1" l="1"/>
  <c r="O32" i="1"/>
  <c r="P32" i="1" l="1"/>
  <c r="O33" i="1"/>
  <c r="Q32" i="1" l="1"/>
  <c r="Q33" i="1" s="1"/>
  <c r="P33" i="1"/>
  <c r="G11" i="5" l="1" a="1"/>
  <c r="G11" i="5" s="1"/>
  <c r="G15" i="5" l="1"/>
  <c r="G13" i="5"/>
  <c r="J13" i="5"/>
  <c r="J15" i="5"/>
  <c r="J17" i="5" s="1"/>
  <c r="N15" i="5"/>
  <c r="N17" i="5" s="1"/>
  <c r="N13" i="5"/>
  <c r="O13" i="5"/>
  <c r="O15" i="5"/>
  <c r="O17" i="5" s="1"/>
  <c r="H13" i="5"/>
  <c r="H15" i="5"/>
  <c r="P13" i="5"/>
  <c r="P15" i="5"/>
  <c r="P17" i="5" s="1"/>
  <c r="I13" i="5"/>
  <c r="I15" i="5"/>
  <c r="I17" i="5" s="1"/>
  <c r="K15" i="5"/>
  <c r="K17" i="5" s="1"/>
  <c r="K13" i="5"/>
  <c r="L15" i="5"/>
  <c r="L17" i="5" s="1"/>
  <c r="L13" i="5"/>
  <c r="M15" i="5"/>
  <c r="M17" i="5" s="1"/>
  <c r="M13" i="5"/>
  <c r="G17" i="5" l="1"/>
  <c r="Q15" i="5"/>
  <c r="Q17" i="5" s="1"/>
  <c r="H17" i="5"/>
  <c r="P11" i="5"/>
  <c r="O11" i="5"/>
  <c r="N11" i="5"/>
  <c r="M11" i="5"/>
  <c r="L11" i="5"/>
  <c r="K11" i="5"/>
  <c r="J11" i="5"/>
  <c r="I11" i="5"/>
  <c r="H11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<sst xmlns="http://schemas.openxmlformats.org/spreadsheetml/2006/main" count="135" uniqueCount="92">
  <si>
    <t>Inflacja (CPI)</t>
  </si>
  <si>
    <t>SUMA</t>
  </si>
  <si>
    <t>rocznie</t>
  </si>
  <si>
    <t>świadczenia na rzecz osób fizycznych</t>
  </si>
  <si>
    <t>delegacje zagraniczne</t>
  </si>
  <si>
    <t>delegacje krajowe</t>
  </si>
  <si>
    <t>remonty</t>
  </si>
  <si>
    <t>podatek od nieruchomości</t>
  </si>
  <si>
    <t>odpady komunalne</t>
  </si>
  <si>
    <t>jednorazowo</t>
  </si>
  <si>
    <t>badania medycyny pracy</t>
  </si>
  <si>
    <t>Wynajem powierzchni PLUS koszty utrzymania: energia, ciepło, sprzątanie, prace gospodarcze, ochrona, etc.</t>
  </si>
  <si>
    <t>oprogramowanie</t>
  </si>
  <si>
    <t xml:space="preserve">laptop,stacja dokująca, monitor, mysz, klawiatura -  wydatki jednorazowe </t>
  </si>
  <si>
    <t>biurko, fotel, szafa, regał, ar.biurowe, wieszak - wydatek jednorazowy</t>
  </si>
  <si>
    <t>ZFŚS</t>
  </si>
  <si>
    <t>PPK</t>
  </si>
  <si>
    <t>FP</t>
  </si>
  <si>
    <t>ZUS</t>
  </si>
  <si>
    <t>DWR</t>
  </si>
  <si>
    <t xml:space="preserve">wynagrodzenie zasadnicze </t>
  </si>
  <si>
    <t>4010/4020</t>
  </si>
  <si>
    <t>kwota</t>
  </si>
  <si>
    <t>liczba m-cy</t>
  </si>
  <si>
    <t>liczba etatów</t>
  </si>
  <si>
    <t>%, zł</t>
  </si>
  <si>
    <t xml:space="preserve">Nazwa </t>
  </si>
  <si>
    <t>Paragraf</t>
  </si>
  <si>
    <t>zwiększenie o 3%</t>
  </si>
  <si>
    <t>DINF</t>
  </si>
  <si>
    <t>usługi utrzymaniowo – rozwojowe systemu EHAŁAS i stałej sieci pomiarowej</t>
  </si>
  <si>
    <t>DMŚ</t>
  </si>
  <si>
    <t>DI</t>
  </si>
  <si>
    <t>Wynagrodzenia osobowe z kosztami utrzymania stanowisk pracy</t>
  </si>
  <si>
    <t xml:space="preserve">                                                                        tylko wynagrodzenia osobowe</t>
  </si>
  <si>
    <t xml:space="preserve">                                                                        tylko koszty utrzymania stanowisk pracy</t>
  </si>
  <si>
    <t xml:space="preserve">Projekt ustawy o zmianie ustawy – Prawo ochrony środowiska </t>
  </si>
  <si>
    <t xml:space="preserve">RAZEM wartość w zł </t>
  </si>
  <si>
    <t xml:space="preserve">SUMA mln zł </t>
  </si>
  <si>
    <t>SUMA 2029-2038</t>
  </si>
  <si>
    <t xml:space="preserve">DMŚ </t>
  </si>
  <si>
    <t xml:space="preserve">DI </t>
  </si>
  <si>
    <t xml:space="preserve">wynagrodzenie w oparciu o RB-70 za drugi kwartał dla KSC jako wynik wykonanie osobowe/przeciętne zatrudnienie w okresie sprawozdawczym </t>
  </si>
  <si>
    <t>Do liczenia przekładam to na mnożnik. Wartość już zawiera uśrednione stażowe.</t>
  </si>
  <si>
    <t>SUMA mln zł do OSR</t>
  </si>
  <si>
    <r>
      <t xml:space="preserve">Wskaźnik przyjęte zgodnie z  "Wytycznymi dotyczącymi stosowania jednolitych wskaźników makroekonomicznych będących podstawą oszacowania skutków finansowych projektowanych ustaw - </t>
    </r>
    <r>
      <rPr>
        <b/>
        <sz val="9"/>
        <color theme="1"/>
        <rFont val="Calibri"/>
        <family val="2"/>
        <charset val="238"/>
        <scheme val="minor"/>
      </rPr>
      <t>Aktualizacja lipiec 2025 r.</t>
    </r>
    <r>
      <rPr>
        <sz val="9"/>
        <color theme="1"/>
        <rFont val="Calibri"/>
        <family val="2"/>
        <charset val="238"/>
        <scheme val="minor"/>
      </rPr>
      <t xml:space="preserve"> (https://www.gov.pl/web/finanse/wytyczne-sytuacja-makroekonomiczna )</t>
    </r>
  </si>
  <si>
    <t>Instytucja</t>
  </si>
  <si>
    <t xml:space="preserve">Fundusz  </t>
  </si>
  <si>
    <t>Min Pracy</t>
  </si>
  <si>
    <t>FP "czysty"</t>
  </si>
  <si>
    <t>Fundusz Solidarnościowy</t>
  </si>
  <si>
    <t>FGŚS</t>
  </si>
  <si>
    <t>f. emerytalny</t>
  </si>
  <si>
    <t>f.rentowy</t>
  </si>
  <si>
    <t>f. emerytalny pracownik</t>
  </si>
  <si>
    <t>f.rentowy pracownik</t>
  </si>
  <si>
    <t>NFZ</t>
  </si>
  <si>
    <t>f.chorobowy pracownik</t>
  </si>
  <si>
    <t>f.wypadkowy</t>
  </si>
  <si>
    <t>Min Pracy łącznie</t>
  </si>
  <si>
    <t xml:space="preserve">ZUS suma łącznie: </t>
  </si>
  <si>
    <t>Budżet Państwa 15%</t>
  </si>
  <si>
    <t>Budżet JST 85%</t>
  </si>
  <si>
    <t>budżet państwa (15% z PIT)</t>
  </si>
  <si>
    <t xml:space="preserve"> JST (85% z PIT)</t>
  </si>
  <si>
    <t>Budżet państwa (ZUS,NFZ,FP,FS,FGSP)</t>
  </si>
  <si>
    <t>Lata</t>
  </si>
  <si>
    <t>Dochody ogółem</t>
  </si>
  <si>
    <t>Budżet państwa</t>
  </si>
  <si>
    <t>dochody VAT</t>
  </si>
  <si>
    <t>budżet państwa (ZUS, NFZ, FP, FGŚP)</t>
  </si>
  <si>
    <t>Fundusz Pracy (2,45%)</t>
  </si>
  <si>
    <t>Fundusz Gwarantowanych Świadczeń Pracowniczych (0,1%)</t>
  </si>
  <si>
    <t>JST (85% z PIT)</t>
  </si>
  <si>
    <t>Wydatki ogółem</t>
  </si>
  <si>
    <t>Saldo ogółem</t>
  </si>
  <si>
    <t xml:space="preserve">Tabela do części 6 wg wzoru zamieszczonego w formularzu OSR </t>
  </si>
  <si>
    <t>(ceny stałe z 2025 r.)</t>
  </si>
  <si>
    <t>Łącznie (0-10)</t>
  </si>
  <si>
    <t>cz. 51 (GIOŚ)</t>
  </si>
  <si>
    <t>cz. 85 (Marszałkowie województw)</t>
  </si>
  <si>
    <t>JST (POŚpH)</t>
  </si>
  <si>
    <t>budżet państwa (łącznie GIOŚ, marszałkowie województw ), w tym:</t>
  </si>
  <si>
    <t>ubezpieczenie zdrowotne</t>
  </si>
  <si>
    <t>Fundusz Pracy (2,45%) Fundusz pracy + Fundusz Solidarnościowy</t>
  </si>
  <si>
    <t>Wynagrodzenia osobowe</t>
  </si>
  <si>
    <t>JST (łącznie (POŚpH i 85% z PIT)</t>
  </si>
  <si>
    <t xml:space="preserve">ZUS </t>
  </si>
  <si>
    <t xml:space="preserve">NFZ </t>
  </si>
  <si>
    <t>F. Pracy</t>
  </si>
  <si>
    <t xml:space="preserve">F. Solidarnościowy </t>
  </si>
  <si>
    <t xml:space="preserve">F. Gwarantowanych Świadczeń Pracowniczych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</si>
</sst>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_-* #,##0.00\ [$zł-415]_-;\-* #,##0.00\ [$zł-415]_-;_-* &quot;-&quot;??\ [$zł-415]_-;_-@_-"/>
    <numFmt numFmtId="166" formatCode="0.0%"/>
    <numFmt numFmtId="167" formatCode="#,##0.0000"/>
    <numFmt numFmtId="168" formatCode="#,##0.000"/>
    <numFmt numFmtId="169" formatCode="0.000"/>
  </numFmts>
  <fonts count="25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8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u/>
      <sz val="12"/>
      <color theme="8" tint="-0.49998474074526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9"/>
      <color rgb="FF000000"/>
      <name val="Times New Roman"/>
      <family val="1"/>
      <charset val="238"/>
    </font>
  </fonts>
  <fills count="1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4" fillId="0" borderId="0"/>
    <xf numFmtId="164" fontId="14" fillId="0" borderId="0" applyFont="0" applyFill="0" applyBorder="0" applyAlignment="0" applyProtection="0"/>
  </cellStyleXfs>
  <cellXfs count="153">
    <xf numFmtId="0" fontId="0" fillId="0" borderId="0" xfId="0"/>
    <xf numFmtId="4" fontId="1" fillId="0" borderId="1" xfId="0" applyNumberFormat="1" applyFont="1" applyBorder="1" applyAlignment="1">
      <alignment horizontal="left" vertical="center"/>
    </xf>
    <xf numFmtId="0" fontId="2" fillId="0" borderId="0" xfId="0" applyFont="1"/>
    <xf numFmtId="4" fontId="3" fillId="2" borderId="2" xfId="0" applyNumberFormat="1" applyFont="1" applyFill="1" applyBorder="1" applyAlignment="1">
      <alignment vertical="center"/>
    </xf>
    <xf numFmtId="4" fontId="3" fillId="3" borderId="2" xfId="0" applyNumberFormat="1" applyFont="1" applyFill="1" applyBorder="1" applyAlignment="1">
      <alignment vertical="center"/>
    </xf>
    <xf numFmtId="0" fontId="0" fillId="4" borderId="2" xfId="0" applyFill="1" applyBorder="1"/>
    <xf numFmtId="0" fontId="0" fillId="5" borderId="2" xfId="0" applyFill="1" applyBorder="1" applyAlignment="1">
      <alignment horizontal="center" vertical="center"/>
    </xf>
    <xf numFmtId="165" fontId="4" fillId="6" borderId="4" xfId="0" applyNumberFormat="1" applyFont="1" applyFill="1" applyBorder="1" applyAlignment="1">
      <alignment horizontal="right" vertical="center"/>
    </xf>
    <xf numFmtId="165" fontId="4" fillId="6" borderId="5" xfId="0" applyNumberFormat="1" applyFont="1" applyFill="1" applyBorder="1" applyAlignment="1">
      <alignment horizontal="right" vertical="center"/>
    </xf>
    <xf numFmtId="0" fontId="4" fillId="6" borderId="5" xfId="0" applyFont="1" applyFill="1" applyBorder="1" applyAlignment="1">
      <alignment horizontal="right" vertical="center"/>
    </xf>
    <xf numFmtId="165" fontId="5" fillId="6" borderId="5" xfId="0" applyNumberFormat="1" applyFont="1" applyFill="1" applyBorder="1" applyAlignment="1">
      <alignment horizontal="right" vertical="center"/>
    </xf>
    <xf numFmtId="4" fontId="6" fillId="6" borderId="6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165" fontId="1" fillId="0" borderId="7" xfId="0" applyNumberFormat="1" applyFont="1" applyBorder="1" applyAlignment="1">
      <alignment horizontal="right" vertical="center"/>
    </xf>
    <xf numFmtId="165" fontId="1" fillId="0" borderId="8" xfId="0" applyNumberFormat="1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4" fontId="1" fillId="0" borderId="9" xfId="0" applyNumberFormat="1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right" vertical="center"/>
    </xf>
    <xf numFmtId="165" fontId="1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4" fontId="1" fillId="0" borderId="1" xfId="0" applyNumberFormat="1" applyFont="1" applyBorder="1" applyAlignment="1">
      <alignment horizontal="left" vertical="center" wrapText="1"/>
    </xf>
    <xf numFmtId="0" fontId="1" fillId="7" borderId="10" xfId="0" applyFont="1" applyFill="1" applyBorder="1" applyAlignment="1">
      <alignment horizontal="center" vertical="center"/>
    </xf>
    <xf numFmtId="165" fontId="1" fillId="0" borderId="12" xfId="0" applyNumberFormat="1" applyFont="1" applyBorder="1" applyAlignment="1">
      <alignment horizontal="right" vertical="center"/>
    </xf>
    <xf numFmtId="165" fontId="1" fillId="0" borderId="13" xfId="0" applyNumberFormat="1" applyFont="1" applyBorder="1" applyAlignment="1">
      <alignment horizontal="right" vertical="center"/>
    </xf>
    <xf numFmtId="0" fontId="1" fillId="0" borderId="13" xfId="0" applyFont="1" applyBorder="1" applyAlignment="1">
      <alignment horizontal="right" vertical="center"/>
    </xf>
    <xf numFmtId="4" fontId="1" fillId="0" borderId="14" xfId="0" applyNumberFormat="1" applyFont="1" applyBorder="1" applyAlignment="1">
      <alignment horizontal="left" vertical="center" wrapText="1"/>
    </xf>
    <xf numFmtId="4" fontId="1" fillId="0" borderId="9" xfId="0" applyNumberFormat="1" applyFont="1" applyBorder="1" applyAlignment="1">
      <alignment horizontal="left" vertical="center"/>
    </xf>
    <xf numFmtId="10" fontId="1" fillId="0" borderId="2" xfId="0" applyNumberFormat="1" applyFont="1" applyBorder="1" applyAlignment="1">
      <alignment horizontal="right" vertical="center"/>
    </xf>
    <xf numFmtId="0" fontId="1" fillId="3" borderId="13" xfId="0" applyFont="1" applyFill="1" applyBorder="1" applyAlignment="1">
      <alignment horizontal="right" vertical="center"/>
    </xf>
    <xf numFmtId="4" fontId="1" fillId="0" borderId="14" xfId="0" applyNumberFormat="1" applyFont="1" applyBorder="1" applyAlignment="1">
      <alignment horizontal="left" vertical="center"/>
    </xf>
    <xf numFmtId="0" fontId="3" fillId="0" borderId="0" xfId="0" applyFont="1"/>
    <xf numFmtId="1" fontId="8" fillId="8" borderId="15" xfId="0" applyNumberFormat="1" applyFont="1" applyFill="1" applyBorder="1" applyAlignment="1">
      <alignment horizontal="center" vertical="center"/>
    </xf>
    <xf numFmtId="1" fontId="8" fillId="8" borderId="16" xfId="0" applyNumberFormat="1" applyFont="1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4" borderId="2" xfId="0" applyFill="1" applyBorder="1" applyAlignment="1">
      <alignment horizontal="right"/>
    </xf>
    <xf numFmtId="165" fontId="0" fillId="0" borderId="0" xfId="0" applyNumberFormat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9" fillId="0" borderId="0" xfId="0" applyFont="1"/>
    <xf numFmtId="165" fontId="1" fillId="7" borderId="8" xfId="0" applyNumberFormat="1" applyFont="1" applyFill="1" applyBorder="1" applyAlignment="1">
      <alignment horizontal="right" vertical="center"/>
    </xf>
    <xf numFmtId="4" fontId="1" fillId="0" borderId="24" xfId="0" applyNumberFormat="1" applyFont="1" applyBorder="1" applyAlignment="1">
      <alignment horizontal="left" vertical="center"/>
    </xf>
    <xf numFmtId="165" fontId="1" fillId="7" borderId="17" xfId="0" applyNumberFormat="1" applyFont="1" applyFill="1" applyBorder="1" applyAlignment="1">
      <alignment horizontal="right" vertical="center"/>
    </xf>
    <xf numFmtId="0" fontId="1" fillId="0" borderId="17" xfId="0" applyFont="1" applyBorder="1" applyAlignment="1">
      <alignment horizontal="right" vertical="center"/>
    </xf>
    <xf numFmtId="0" fontId="1" fillId="0" borderId="16" xfId="0" applyFont="1" applyBorder="1" applyAlignment="1">
      <alignment horizontal="right" vertical="center"/>
    </xf>
    <xf numFmtId="165" fontId="1" fillId="0" borderId="17" xfId="0" applyNumberFormat="1" applyFont="1" applyBorder="1" applyAlignment="1">
      <alignment horizontal="right" vertical="center"/>
    </xf>
    <xf numFmtId="165" fontId="1" fillId="0" borderId="23" xfId="0" applyNumberFormat="1" applyFont="1" applyBorder="1" applyAlignment="1">
      <alignment horizontal="right" vertical="center"/>
    </xf>
    <xf numFmtId="165" fontId="7" fillId="7" borderId="13" xfId="0" applyNumberFormat="1" applyFont="1" applyFill="1" applyBorder="1" applyAlignment="1">
      <alignment horizontal="right" vertical="center"/>
    </xf>
    <xf numFmtId="165" fontId="7" fillId="7" borderId="2" xfId="0" applyNumberFormat="1" applyFont="1" applyFill="1" applyBorder="1" applyAlignment="1">
      <alignment horizontal="right" vertical="center"/>
    </xf>
    <xf numFmtId="165" fontId="7" fillId="7" borderId="8" xfId="0" applyNumberFormat="1" applyFont="1" applyFill="1" applyBorder="1" applyAlignment="1">
      <alignment horizontal="right" vertical="center"/>
    </xf>
    <xf numFmtId="0" fontId="10" fillId="9" borderId="2" xfId="0" applyFont="1" applyFill="1" applyBorder="1"/>
    <xf numFmtId="4" fontId="0" fillId="0" borderId="2" xfId="0" applyNumberFormat="1" applyBorder="1"/>
    <xf numFmtId="0" fontId="0" fillId="7" borderId="25" xfId="0" applyFill="1" applyBorder="1"/>
    <xf numFmtId="4" fontId="10" fillId="0" borderId="2" xfId="0" applyNumberFormat="1" applyFont="1" applyBorder="1"/>
    <xf numFmtId="0" fontId="10" fillId="5" borderId="2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left" vertical="center"/>
    </xf>
    <xf numFmtId="0" fontId="0" fillId="9" borderId="2" xfId="0" applyFill="1" applyBorder="1"/>
    <xf numFmtId="0" fontId="0" fillId="10" borderId="2" xfId="0" applyFill="1" applyBorder="1"/>
    <xf numFmtId="165" fontId="10" fillId="0" borderId="0" xfId="0" applyNumberFormat="1" applyFont="1"/>
    <xf numFmtId="4" fontId="11" fillId="0" borderId="0" xfId="0" applyNumberFormat="1" applyFont="1"/>
    <xf numFmtId="0" fontId="12" fillId="0" borderId="0" xfId="0" applyFont="1"/>
    <xf numFmtId="0" fontId="0" fillId="0" borderId="2" xfId="0" applyBorder="1"/>
    <xf numFmtId="0" fontId="0" fillId="8" borderId="2" xfId="0" applyFill="1" applyBorder="1"/>
    <xf numFmtId="0" fontId="10" fillId="5" borderId="2" xfId="0" applyFont="1" applyFill="1" applyBorder="1" applyAlignment="1">
      <alignment horizontal="center" vertical="center" wrapText="1"/>
    </xf>
    <xf numFmtId="4" fontId="10" fillId="0" borderId="10" xfId="0" applyNumberFormat="1" applyFont="1" applyBorder="1"/>
    <xf numFmtId="4" fontId="0" fillId="0" borderId="10" xfId="0" applyNumberFormat="1" applyBorder="1"/>
    <xf numFmtId="4" fontId="11" fillId="0" borderId="2" xfId="0" applyNumberFormat="1" applyFont="1" applyBorder="1"/>
    <xf numFmtId="4" fontId="0" fillId="4" borderId="0" xfId="0" applyNumberFormat="1" applyFill="1"/>
    <xf numFmtId="0" fontId="0" fillId="4" borderId="0" xfId="0" applyFill="1"/>
    <xf numFmtId="0" fontId="10" fillId="0" borderId="0" xfId="0" applyFont="1"/>
    <xf numFmtId="165" fontId="0" fillId="9" borderId="2" xfId="0" applyNumberFormat="1" applyFill="1" applyBorder="1"/>
    <xf numFmtId="2" fontId="0" fillId="8" borderId="2" xfId="0" applyNumberFormat="1" applyFill="1" applyBorder="1"/>
    <xf numFmtId="0" fontId="0" fillId="2" borderId="2" xfId="0" applyFill="1" applyBorder="1"/>
    <xf numFmtId="0" fontId="10" fillId="4" borderId="2" xfId="0" applyFont="1" applyFill="1" applyBorder="1"/>
    <xf numFmtId="0" fontId="10" fillId="2" borderId="2" xfId="0" applyFont="1" applyFill="1" applyBorder="1"/>
    <xf numFmtId="4" fontId="0" fillId="0" borderId="0" xfId="0" applyNumberFormat="1"/>
    <xf numFmtId="0" fontId="0" fillId="0" borderId="0" xfId="0" applyAlignment="1">
      <alignment wrapText="1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0" fillId="0" borderId="2" xfId="0" applyFont="1" applyBorder="1" applyAlignment="1">
      <alignment wrapText="1"/>
    </xf>
    <xf numFmtId="0" fontId="0" fillId="11" borderId="2" xfId="0" applyFill="1" applyBorder="1" applyAlignment="1">
      <alignment wrapText="1"/>
    </xf>
    <xf numFmtId="0" fontId="10" fillId="12" borderId="2" xfId="0" applyFont="1" applyFill="1" applyBorder="1" applyAlignment="1">
      <alignment wrapText="1"/>
    </xf>
    <xf numFmtId="0" fontId="15" fillId="0" borderId="0" xfId="0" applyFont="1"/>
    <xf numFmtId="0" fontId="10" fillId="0" borderId="2" xfId="1" applyFont="1" applyBorder="1"/>
    <xf numFmtId="165" fontId="0" fillId="0" borderId="2" xfId="0" applyNumberFormat="1" applyBorder="1"/>
    <xf numFmtId="4" fontId="1" fillId="0" borderId="2" xfId="0" applyNumberFormat="1" applyFont="1" applyBorder="1" applyAlignment="1">
      <alignment horizontal="left" vertical="center"/>
    </xf>
    <xf numFmtId="0" fontId="17" fillId="9" borderId="2" xfId="1" applyFont="1" applyFill="1" applyBorder="1"/>
    <xf numFmtId="0" fontId="17" fillId="9" borderId="2" xfId="0" applyFont="1" applyFill="1" applyBorder="1"/>
    <xf numFmtId="9" fontId="17" fillId="9" borderId="2" xfId="1" applyNumberFormat="1" applyFont="1" applyFill="1" applyBorder="1"/>
    <xf numFmtId="10" fontId="17" fillId="9" borderId="2" xfId="1" applyNumberFormat="1" applyFont="1" applyFill="1" applyBorder="1"/>
    <xf numFmtId="166" fontId="17" fillId="9" borderId="2" xfId="1" applyNumberFormat="1" applyFont="1" applyFill="1" applyBorder="1"/>
    <xf numFmtId="4" fontId="0" fillId="0" borderId="16" xfId="0" applyNumberFormat="1" applyBorder="1"/>
    <xf numFmtId="0" fontId="10" fillId="0" borderId="2" xfId="0" applyFont="1" applyBorder="1"/>
    <xf numFmtId="0" fontId="10" fillId="0" borderId="16" xfId="0" applyFont="1" applyBorder="1"/>
    <xf numFmtId="4" fontId="0" fillId="11" borderId="2" xfId="0" applyNumberFormat="1" applyFill="1" applyBorder="1"/>
    <xf numFmtId="0" fontId="0" fillId="11" borderId="0" xfId="0" applyFill="1"/>
    <xf numFmtId="0" fontId="18" fillId="0" borderId="0" xfId="0" applyFont="1"/>
    <xf numFmtId="0" fontId="17" fillId="11" borderId="2" xfId="1" applyFont="1" applyFill="1" applyBorder="1"/>
    <xf numFmtId="9" fontId="17" fillId="11" borderId="2" xfId="0" applyNumberFormat="1" applyFont="1" applyFill="1" applyBorder="1"/>
    <xf numFmtId="0" fontId="0" fillId="11" borderId="2" xfId="0" applyFill="1" applyBorder="1"/>
    <xf numFmtId="165" fontId="0" fillId="11" borderId="2" xfId="0" applyNumberFormat="1" applyFill="1" applyBorder="1"/>
    <xf numFmtId="165" fontId="0" fillId="9" borderId="0" xfId="0" applyNumberFormat="1" applyFill="1"/>
    <xf numFmtId="0" fontId="0" fillId="9" borderId="0" xfId="0" applyFill="1"/>
    <xf numFmtId="0" fontId="0" fillId="7" borderId="2" xfId="0" applyFill="1" applyBorder="1"/>
    <xf numFmtId="165" fontId="0" fillId="7" borderId="2" xfId="0" applyNumberFormat="1" applyFill="1" applyBorder="1"/>
    <xf numFmtId="0" fontId="0" fillId="7" borderId="0" xfId="0" applyFill="1"/>
    <xf numFmtId="10" fontId="10" fillId="9" borderId="2" xfId="0" applyNumberFormat="1" applyFont="1" applyFill="1" applyBorder="1"/>
    <xf numFmtId="0" fontId="10" fillId="9" borderId="2" xfId="0" applyFont="1" applyFill="1" applyBorder="1" applyAlignment="1">
      <alignment horizontal="center"/>
    </xf>
    <xf numFmtId="2" fontId="0" fillId="0" borderId="2" xfId="0" applyNumberFormat="1" applyBorder="1"/>
    <xf numFmtId="2" fontId="14" fillId="0" borderId="2" xfId="1" applyNumberFormat="1" applyBorder="1"/>
    <xf numFmtId="0" fontId="20" fillId="0" borderId="2" xfId="1" applyFont="1" applyBorder="1"/>
    <xf numFmtId="2" fontId="21" fillId="0" borderId="0" xfId="0" applyNumberFormat="1" applyFont="1"/>
    <xf numFmtId="4" fontId="21" fillId="0" borderId="2" xfId="0" applyNumberFormat="1" applyFont="1" applyBorder="1"/>
    <xf numFmtId="2" fontId="21" fillId="0" borderId="2" xfId="1" applyNumberFormat="1" applyFont="1" applyBorder="1"/>
    <xf numFmtId="2" fontId="0" fillId="0" borderId="16" xfId="0" applyNumberFormat="1" applyBorder="1"/>
    <xf numFmtId="4" fontId="19" fillId="9" borderId="24" xfId="0" applyNumberFormat="1" applyFont="1" applyFill="1" applyBorder="1" applyAlignment="1">
      <alignment horizontal="left" vertical="center"/>
    </xf>
    <xf numFmtId="0" fontId="21" fillId="0" borderId="2" xfId="0" applyFont="1" applyBorder="1" applyAlignment="1">
      <alignment wrapText="1"/>
    </xf>
    <xf numFmtId="0" fontId="21" fillId="11" borderId="2" xfId="0" applyFont="1" applyFill="1" applyBorder="1" applyAlignment="1">
      <alignment wrapText="1"/>
    </xf>
    <xf numFmtId="168" fontId="0" fillId="0" borderId="2" xfId="0" applyNumberFormat="1" applyBorder="1"/>
    <xf numFmtId="169" fontId="0" fillId="11" borderId="2" xfId="0" applyNumberFormat="1" applyFill="1" applyBorder="1"/>
    <xf numFmtId="2" fontId="0" fillId="11" borderId="2" xfId="0" applyNumberFormat="1" applyFill="1" applyBorder="1"/>
    <xf numFmtId="1" fontId="0" fillId="11" borderId="2" xfId="0" applyNumberFormat="1" applyFill="1" applyBorder="1"/>
    <xf numFmtId="168" fontId="21" fillId="12" borderId="2" xfId="0" applyNumberFormat="1" applyFont="1" applyFill="1" applyBorder="1"/>
    <xf numFmtId="168" fontId="21" fillId="0" borderId="2" xfId="0" applyNumberFormat="1" applyFont="1" applyBorder="1"/>
    <xf numFmtId="167" fontId="0" fillId="0" borderId="2" xfId="0" applyNumberFormat="1" applyBorder="1"/>
    <xf numFmtId="4" fontId="0" fillId="12" borderId="2" xfId="0" applyNumberFormat="1" applyFill="1" applyBorder="1"/>
    <xf numFmtId="168" fontId="0" fillId="12" borderId="2" xfId="0" applyNumberFormat="1" applyFill="1" applyBorder="1"/>
    <xf numFmtId="4" fontId="22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horizontal="right" vertical="center"/>
    </xf>
    <xf numFmtId="0" fontId="24" fillId="13" borderId="0" xfId="0" applyFont="1" applyFill="1" applyAlignment="1">
      <alignment horizontal="justify" vertical="center"/>
    </xf>
    <xf numFmtId="4" fontId="0" fillId="14" borderId="2" xfId="0" applyNumberFormat="1" applyFill="1" applyBorder="1"/>
    <xf numFmtId="4" fontId="21" fillId="14" borderId="2" xfId="0" applyNumberFormat="1" applyFont="1" applyFill="1" applyBorder="1"/>
    <xf numFmtId="168" fontId="21" fillId="14" borderId="2" xfId="0" applyNumberFormat="1" applyFont="1" applyFill="1" applyBorder="1"/>
    <xf numFmtId="2" fontId="10" fillId="0" borderId="2" xfId="0" applyNumberFormat="1" applyFont="1" applyBorder="1"/>
    <xf numFmtId="2" fontId="0" fillId="0" borderId="0" xfId="0" applyNumberFormat="1"/>
    <xf numFmtId="0" fontId="16" fillId="0" borderId="0" xfId="0" applyFont="1" applyAlignment="1">
      <alignment wrapText="1"/>
    </xf>
    <xf numFmtId="0" fontId="16" fillId="0" borderId="0" xfId="0" applyFont="1"/>
    <xf numFmtId="49" fontId="10" fillId="9" borderId="2" xfId="0" applyNumberFormat="1" applyFont="1" applyFill="1" applyBorder="1" applyAlignment="1">
      <alignment horizontal="center" wrapText="1"/>
    </xf>
    <xf numFmtId="0" fontId="7" fillId="4" borderId="10" xfId="0" applyFont="1" applyFill="1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10" xfId="0" applyBorder="1" applyAlignment="1">
      <alignment horizontal="center"/>
    </xf>
    <xf numFmtId="0" fontId="0" fillId="0" borderId="22" xfId="0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4" fontId="3" fillId="8" borderId="14" xfId="0" applyNumberFormat="1" applyFont="1" applyFill="1" applyBorder="1" applyAlignment="1">
      <alignment horizontal="center" vertical="center"/>
    </xf>
    <xf numFmtId="4" fontId="3" fillId="8" borderId="18" xfId="0" applyNumberFormat="1" applyFont="1" applyFill="1" applyBorder="1" applyAlignment="1">
      <alignment horizontal="center" vertical="center"/>
    </xf>
    <xf numFmtId="0" fontId="3" fillId="8" borderId="13" xfId="0" applyFont="1" applyFill="1" applyBorder="1" applyAlignment="1">
      <alignment horizontal="center" vertical="center"/>
    </xf>
    <xf numFmtId="0" fontId="3" fillId="8" borderId="16" xfId="0" applyFont="1" applyFill="1" applyBorder="1" applyAlignment="1">
      <alignment horizontal="center" vertical="center"/>
    </xf>
    <xf numFmtId="0" fontId="3" fillId="8" borderId="21" xfId="0" applyFont="1" applyFill="1" applyBorder="1" applyAlignment="1">
      <alignment horizontal="center" vertical="center"/>
    </xf>
    <xf numFmtId="0" fontId="3" fillId="8" borderId="17" xfId="0" applyFont="1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 textRotation="90"/>
    </xf>
  </cellXfs>
  <cellStyles count="3">
    <cellStyle name="Dziesiętny 2" xfId="2" xr:uid="{C4EB4A59-AE86-4CAA-97CB-35910C460602}"/>
    <cellStyle name="Normalny" xfId="0" builtinId="0"/>
    <cellStyle name="Normalny 2" xfId="1" xr:uid="{6C04DCC8-3C8C-4419-B58A-E3C9B3008CB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8E4C0-B149-4131-8758-FC623AF11DCC}">
  <dimension ref="A1:N32"/>
  <sheetViews>
    <sheetView topLeftCell="A7" zoomScale="70" zoomScaleNormal="70" workbookViewId="0">
      <selection activeCell="E27" sqref="A27:E27"/>
    </sheetView>
  </sheetViews>
  <sheetFormatPr defaultColWidth="34.140625" defaultRowHeight="15" x14ac:dyDescent="0.25"/>
  <cols>
    <col min="1" max="1" width="51.140625" style="76" customWidth="1"/>
    <col min="2" max="2" width="17.5703125" customWidth="1"/>
    <col min="3" max="3" width="14.140625" customWidth="1"/>
    <col min="4" max="4" width="14.5703125" customWidth="1"/>
    <col min="5" max="5" width="18" customWidth="1"/>
    <col min="6" max="6" width="14.85546875" customWidth="1"/>
    <col min="7" max="7" width="16.5703125" customWidth="1"/>
    <col min="8" max="8" width="16.140625" customWidth="1"/>
    <col min="9" max="10" width="14.42578125" customWidth="1"/>
    <col min="11" max="11" width="13.140625" customWidth="1"/>
    <col min="12" max="12" width="15.42578125" customWidth="1"/>
    <col min="13" max="13" width="17.5703125" customWidth="1"/>
  </cols>
  <sheetData>
    <row r="1" spans="1:14" x14ac:dyDescent="0.25">
      <c r="A1" s="77" t="s">
        <v>77</v>
      </c>
      <c r="B1" s="78">
        <v>0</v>
      </c>
      <c r="C1" s="78">
        <v>1</v>
      </c>
      <c r="D1" s="78">
        <v>2</v>
      </c>
      <c r="E1" s="78">
        <v>3</v>
      </c>
      <c r="F1" s="78">
        <v>4</v>
      </c>
      <c r="G1" s="78">
        <v>5</v>
      </c>
      <c r="H1" s="78">
        <v>6</v>
      </c>
      <c r="I1" s="78">
        <v>7</v>
      </c>
      <c r="J1" s="78">
        <v>8</v>
      </c>
      <c r="K1" s="78">
        <v>9</v>
      </c>
      <c r="L1" s="78">
        <v>10</v>
      </c>
      <c r="M1" s="78"/>
    </row>
    <row r="2" spans="1:14" x14ac:dyDescent="0.25">
      <c r="A2" s="77" t="s">
        <v>66</v>
      </c>
      <c r="B2" s="79">
        <v>2026</v>
      </c>
      <c r="C2" s="79">
        <v>2029</v>
      </c>
      <c r="D2" s="79">
        <v>2030</v>
      </c>
      <c r="E2" s="79">
        <v>2031</v>
      </c>
      <c r="F2" s="79">
        <v>2032</v>
      </c>
      <c r="G2" s="79">
        <v>2033</v>
      </c>
      <c r="H2" s="79">
        <v>2034</v>
      </c>
      <c r="I2" s="79">
        <v>2035</v>
      </c>
      <c r="J2" s="79">
        <v>2036</v>
      </c>
      <c r="K2" s="79">
        <v>2037</v>
      </c>
      <c r="L2" s="79">
        <v>2038</v>
      </c>
      <c r="M2" s="79" t="s">
        <v>78</v>
      </c>
    </row>
    <row r="3" spans="1:14" x14ac:dyDescent="0.25">
      <c r="A3" s="82" t="s">
        <v>67</v>
      </c>
      <c r="B3" s="123">
        <f>B4+B12+B13</f>
        <v>0</v>
      </c>
      <c r="C3" s="123">
        <f>C4+C12+C13</f>
        <v>0.29769915326128527</v>
      </c>
      <c r="D3" s="123">
        <f>D4+D12+D13</f>
        <v>0.31763531026548314</v>
      </c>
      <c r="E3" s="123">
        <f>E4+E12+E13</f>
        <v>0.32557619302212032</v>
      </c>
      <c r="F3" s="123">
        <f>F4+F12+F13</f>
        <v>0.33371559784767324</v>
      </c>
      <c r="G3" s="123">
        <f xml:space="preserve"> G4+G12+G13</f>
        <v>7.9510584877938655</v>
      </c>
      <c r="H3" s="123">
        <f>H4+H12+H13</f>
        <v>0.35060994998871159</v>
      </c>
      <c r="I3" s="123">
        <f>I4+I12+I13</f>
        <v>0.3593751987384296</v>
      </c>
      <c r="J3" s="123">
        <f>J4+J12+J13</f>
        <v>0.36835957870689018</v>
      </c>
      <c r="K3" s="123">
        <f>K4+K12+K13</f>
        <v>0.37756856817456252</v>
      </c>
      <c r="L3" s="123">
        <f>L4+L12+L13</f>
        <v>8.9960077823789266</v>
      </c>
      <c r="M3" s="123">
        <f>SUM(B3:L3)</f>
        <v>19.677605820177948</v>
      </c>
    </row>
    <row r="4" spans="1:14" x14ac:dyDescent="0.25">
      <c r="A4" s="80" t="s">
        <v>68</v>
      </c>
      <c r="B4" s="124">
        <f>B6+B7</f>
        <v>0</v>
      </c>
      <c r="C4" s="124">
        <f t="shared" ref="C4:L4" si="0">C6+C7</f>
        <v>0.17276237153462745</v>
      </c>
      <c r="D4" s="124">
        <f t="shared" si="0"/>
        <v>0.17895548254889304</v>
      </c>
      <c r="E4" s="124">
        <f t="shared" si="0"/>
        <v>0.18342936961261541</v>
      </c>
      <c r="F4" s="124">
        <f t="shared" si="0"/>
        <v>0.18801510385293074</v>
      </c>
      <c r="G4" s="124">
        <f>G6+G7</f>
        <v>0.19271548144925402</v>
      </c>
      <c r="H4" s="124">
        <f t="shared" si="0"/>
        <v>0.19753336848548528</v>
      </c>
      <c r="I4" s="124">
        <f t="shared" si="0"/>
        <v>0.20247170269762255</v>
      </c>
      <c r="J4" s="124">
        <f t="shared" si="0"/>
        <v>0.20753349526506304</v>
      </c>
      <c r="K4" s="124">
        <f t="shared" si="0"/>
        <v>0.21272183264668965</v>
      </c>
      <c r="L4" s="124">
        <f t="shared" si="0"/>
        <v>0.21803987846285686</v>
      </c>
      <c r="M4" s="124">
        <f>M6+M7</f>
        <v>1.9541780865560376</v>
      </c>
      <c r="N4" s="75"/>
    </row>
    <row r="5" spans="1:14" x14ac:dyDescent="0.25">
      <c r="A5" s="81" t="s">
        <v>69</v>
      </c>
      <c r="B5" s="122">
        <v>0</v>
      </c>
      <c r="C5" s="122">
        <v>0</v>
      </c>
      <c r="D5" s="122">
        <v>0</v>
      </c>
      <c r="E5" s="122">
        <v>0</v>
      </c>
      <c r="F5" s="122">
        <v>0</v>
      </c>
      <c r="G5" s="122">
        <v>0</v>
      </c>
      <c r="H5" s="122">
        <v>0</v>
      </c>
      <c r="I5" s="122">
        <v>0</v>
      </c>
      <c r="J5" s="122">
        <v>0</v>
      </c>
      <c r="K5" s="122">
        <v>0</v>
      </c>
      <c r="L5" s="122">
        <v>0</v>
      </c>
      <c r="M5" s="122">
        <v>0</v>
      </c>
    </row>
    <row r="6" spans="1:14" x14ac:dyDescent="0.25">
      <c r="A6" s="81" t="s">
        <v>63</v>
      </c>
      <c r="B6" s="120">
        <f>Podsumowanie!F21/1000000</f>
        <v>0</v>
      </c>
      <c r="C6" s="120">
        <f>Podsumowanie!G21/1000000</f>
        <v>2.204766736352785E-2</v>
      </c>
      <c r="D6" s="120">
        <f>Podsumowanie!H21/1000000</f>
        <v>2.4472910773515905E-2</v>
      </c>
      <c r="E6" s="120">
        <f>Podsumowanie!I21/1000000</f>
        <v>2.5084733542853805E-2</v>
      </c>
      <c r="F6" s="120">
        <f>Podsumowanie!J21/1000000</f>
        <v>2.5711851881425149E-2</v>
      </c>
      <c r="G6" s="120">
        <f>Podsumowanie!K21/1000000</f>
        <v>2.6354648178460779E-2</v>
      </c>
      <c r="H6" s="120">
        <f>Podsumowanie!L21/1000000</f>
        <v>2.701351438292229E-2</v>
      </c>
      <c r="I6" s="120">
        <f>Podsumowanie!M21/1000000</f>
        <v>2.7688852242495361E-2</v>
      </c>
      <c r="J6" s="120">
        <f>Podsumowanie!N21/1000000</f>
        <v>2.838107354855773E-2</v>
      </c>
      <c r="K6" s="120">
        <f>Podsumowanie!O21/1000000</f>
        <v>2.9090600387271681E-2</v>
      </c>
      <c r="L6" s="120">
        <f>Podsumowanie!P21/1000000</f>
        <v>2.9817865396953469E-2</v>
      </c>
      <c r="M6" s="120">
        <f>Podsumowanie!Q21/1000000</f>
        <v>0.26566371769798403</v>
      </c>
    </row>
    <row r="7" spans="1:14" x14ac:dyDescent="0.25">
      <c r="A7" s="81" t="s">
        <v>70</v>
      </c>
      <c r="B7" s="120">
        <f>Podsumowanie!F23/1000000</f>
        <v>0</v>
      </c>
      <c r="C7" s="120">
        <f>Podsumowanie!G23/1000000</f>
        <v>0.15071470417109961</v>
      </c>
      <c r="D7" s="120">
        <f>Podsumowanie!H23/1000000</f>
        <v>0.15448257177537714</v>
      </c>
      <c r="E7" s="120">
        <f>Podsumowanie!I23/1000000</f>
        <v>0.1583446360697616</v>
      </c>
      <c r="F7" s="120">
        <f>Podsumowanie!J23/1000000</f>
        <v>0.16230325197150558</v>
      </c>
      <c r="G7" s="120">
        <f>Podsumowanie!K23/1000000</f>
        <v>0.16636083327079323</v>
      </c>
      <c r="H7" s="120">
        <f>Podsumowanie!L23/1000000</f>
        <v>0.17051985410256298</v>
      </c>
      <c r="I7" s="120">
        <f>Podsumowanie!M23/1000000</f>
        <v>0.17478285045512718</v>
      </c>
      <c r="J7" s="120">
        <f>Podsumowanie!N23/1000000</f>
        <v>0.17915242171650531</v>
      </c>
      <c r="K7" s="120">
        <f>Podsumowanie!O23/1000000</f>
        <v>0.18363123225941796</v>
      </c>
      <c r="L7" s="120">
        <f>Podsumowanie!P23/1000000</f>
        <v>0.18822201306590339</v>
      </c>
      <c r="M7" s="120">
        <f>Podsumowanie!Q23/1000000</f>
        <v>1.6885143688580537</v>
      </c>
    </row>
    <row r="8" spans="1:14" x14ac:dyDescent="0.25">
      <c r="A8" s="81" t="s">
        <v>18</v>
      </c>
      <c r="B8" s="120">
        <f>Podsumowanie!F24/1000000</f>
        <v>0</v>
      </c>
      <c r="C8" s="120">
        <f>Podsumowanie!G24/1000000</f>
        <v>0.10705393584463359</v>
      </c>
      <c r="D8" s="120">
        <f>Podsumowanie!H24/1000000</f>
        <v>0.10973028424074946</v>
      </c>
      <c r="E8" s="120">
        <f>Podsumowanie!I24/1000000</f>
        <v>0.11247354134676819</v>
      </c>
      <c r="F8" s="120">
        <f>Podsumowanie!J24/1000000</f>
        <v>0.11528537988043738</v>
      </c>
      <c r="G8" s="120">
        <f>Podsumowanie!K24/1000000</f>
        <v>0.11816751437744831</v>
      </c>
      <c r="H8" s="120">
        <f>Podsumowanie!L24/1000000</f>
        <v>0.1211217022368845</v>
      </c>
      <c r="I8" s="120">
        <f>Podsumowanie!M24/1000000</f>
        <v>0.12414974479280665</v>
      </c>
      <c r="J8" s="120">
        <f>Podsumowanie!N24/1000000</f>
        <v>0.12725348841262679</v>
      </c>
      <c r="K8" s="121">
        <f>Podsumowanie!O24/1000000</f>
        <v>0.13043482562294248</v>
      </c>
      <c r="L8" s="120">
        <f>Podsumowanie!P24/1000000</f>
        <v>0.13369569626351602</v>
      </c>
      <c r="M8" s="120">
        <f>Podsumowanie!Q24/1000000</f>
        <v>1.1993661130188136</v>
      </c>
    </row>
    <row r="9" spans="1:14" x14ac:dyDescent="0.25">
      <c r="A9" s="81" t="s">
        <v>56</v>
      </c>
      <c r="B9" s="120">
        <f>Podsumowanie!F25/1000000</f>
        <v>0</v>
      </c>
      <c r="C9" s="120">
        <f>Podsumowanie!G25/1000000</f>
        <v>3.4021377916726769E-2</v>
      </c>
      <c r="D9" s="120">
        <f>Podsumowanie!H25/1000000</f>
        <v>3.4871912364644951E-2</v>
      </c>
      <c r="E9" s="120">
        <f>Podsumowanie!I25/1000000</f>
        <v>3.574371017376108E-2</v>
      </c>
      <c r="F9" s="120">
        <f>Podsumowanie!J25/1000000</f>
        <v>3.6637302928105089E-2</v>
      </c>
      <c r="G9" s="120">
        <f>Podsumowanie!K25/1000000</f>
        <v>3.7553235501307722E-2</v>
      </c>
      <c r="H9" s="120">
        <f>Podsumowanie!L25/1000000</f>
        <v>3.849206638884041E-2</v>
      </c>
      <c r="I9" s="120">
        <f>Podsumowanie!M25/1000000</f>
        <v>3.9454368048561422E-2</v>
      </c>
      <c r="J9" s="121">
        <f>Podsumowanie!N25/1000000</f>
        <v>4.044072724977546E-2</v>
      </c>
      <c r="K9" s="120">
        <f>Podsumowanie!O25/1000000</f>
        <v>4.145174543101985E-2</v>
      </c>
      <c r="L9" s="120">
        <f>Podsumowanie!P25/1000000</f>
        <v>4.2488039066795338E-2</v>
      </c>
      <c r="M9" s="120">
        <f>Podsumowanie!Q25/1000000</f>
        <v>0.38115448506953814</v>
      </c>
    </row>
    <row r="10" spans="1:14" x14ac:dyDescent="0.25">
      <c r="A10" s="81" t="s">
        <v>71</v>
      </c>
      <c r="B10" s="120">
        <f>Podsumowanie!F30/1000000</f>
        <v>0</v>
      </c>
      <c r="C10" s="120">
        <f>Podsumowanie!G30/1000000</f>
        <v>9.261375099553399E-3</v>
      </c>
      <c r="D10" s="120">
        <f>Podsumowanie!H30/1000000</f>
        <v>9.4929094770422363E-3</v>
      </c>
      <c r="E10" s="120">
        <f>Podsumowanie!I30/1000000</f>
        <v>9.7302322139682946E-3</v>
      </c>
      <c r="F10" s="120">
        <f>Podsumowanie!J30/1000000</f>
        <v>9.9734880193174998E-3</v>
      </c>
      <c r="G10" s="120">
        <f>Podsumowanie!K30/1000000</f>
        <v>1.0222825219800438E-2</v>
      </c>
      <c r="H10" s="120">
        <f>Podsumowanie!L30/1000000</f>
        <v>1.0478395850295445E-2</v>
      </c>
      <c r="I10" s="120">
        <f>Podsumowanie!M30/1000000</f>
        <v>1.0740355746552833E-2</v>
      </c>
      <c r="J10" s="120">
        <f>Podsumowanie!N30/1000000</f>
        <v>1.1008864640216652E-2</v>
      </c>
      <c r="K10" s="120">
        <f>Podsumowanie!O30/1000000</f>
        <v>1.1284086256222072E-2</v>
      </c>
      <c r="L10" s="120">
        <f>Podsumowanie!P30/1000000</f>
        <v>1.1566188412627621E-2</v>
      </c>
      <c r="M10" s="120">
        <f>Podsumowanie!Q30/1000000</f>
        <v>0.10375872093559649</v>
      </c>
    </row>
    <row r="11" spans="1:14" ht="28.35" customHeight="1" x14ac:dyDescent="0.25">
      <c r="A11" s="77" t="s">
        <v>72</v>
      </c>
      <c r="B11" s="125">
        <f>Podsumowanie!F28/1000000</f>
        <v>0</v>
      </c>
      <c r="C11" s="125">
        <f>Podsumowanie!G28/1000000</f>
        <v>3.7801531018585301E-4</v>
      </c>
      <c r="D11" s="125">
        <f>Podsumowanie!H28/1000000</f>
        <v>3.874656929404995E-4</v>
      </c>
      <c r="E11" s="125">
        <f>Podsumowanie!I28/1000000</f>
        <v>3.9715233526401198E-4</v>
      </c>
      <c r="F11" s="125">
        <f>Podsumowanie!J28/1000000</f>
        <v>4.0708114364561222E-4</v>
      </c>
      <c r="G11" s="125">
        <f>Podsumowanie!K28/1000000</f>
        <v>4.1725817223675258E-4</v>
      </c>
      <c r="H11" s="125">
        <f>Podsumowanie!L28/1000000</f>
        <v>4.2768962654267124E-4</v>
      </c>
      <c r="I11" s="125">
        <f>Podsumowanie!M28/1000000</f>
        <v>4.3838186720623808E-4</v>
      </c>
      <c r="J11" s="125">
        <f>Podsumowanie!N28/1000000</f>
        <v>4.4934141388639404E-4</v>
      </c>
      <c r="K11" s="125">
        <f>Podsumowanie!O28/1000000</f>
        <v>4.605749492335539E-4</v>
      </c>
      <c r="L11" s="125">
        <f>Podsumowanie!P28/1000000</f>
        <v>4.7208932296439272E-4</v>
      </c>
      <c r="M11" s="125">
        <f>Podsumowanie!Q28/1000000</f>
        <v>4.235049834105979E-3</v>
      </c>
    </row>
    <row r="12" spans="1:14" x14ac:dyDescent="0.25">
      <c r="A12" s="77" t="s">
        <v>73</v>
      </c>
      <c r="B12" s="119">
        <f>Podsumowanie!F22/1000000</f>
        <v>0</v>
      </c>
      <c r="C12" s="119">
        <f>Podsumowanie!G22/1000000</f>
        <v>0.12493678172665781</v>
      </c>
      <c r="D12" s="119">
        <f>Podsumowanie!H22/1000000</f>
        <v>0.1386798277165901</v>
      </c>
      <c r="E12" s="119">
        <f>Podsumowanie!I22/1000000</f>
        <v>0.14214682340950491</v>
      </c>
      <c r="F12" s="119">
        <f>Podsumowanie!J22/1000000</f>
        <v>0.14570049399474252</v>
      </c>
      <c r="G12" s="119">
        <f>Podsumowanie!K22/1000000</f>
        <v>0.14934300634461109</v>
      </c>
      <c r="H12" s="119">
        <f>Podsumowanie!L22/1000000</f>
        <v>0.15307658150322631</v>
      </c>
      <c r="I12" s="119">
        <f>Podsumowanie!M22/1000000</f>
        <v>0.15690349604080703</v>
      </c>
      <c r="J12" s="119">
        <f>Podsumowanie!N22/1000000</f>
        <v>0.16082608344182717</v>
      </c>
      <c r="K12" s="119">
        <f>Podsumowanie!O22/1000000</f>
        <v>0.16484673552787285</v>
      </c>
      <c r="L12" s="119">
        <f>Podsumowanie!P22/1000000</f>
        <v>0.16896790391606967</v>
      </c>
      <c r="M12" s="119">
        <f>Podsumowanie!Q22/1000000</f>
        <v>1.5054277336219093</v>
      </c>
    </row>
    <row r="13" spans="1:14" x14ac:dyDescent="0.25">
      <c r="A13" s="117" t="s">
        <v>81</v>
      </c>
      <c r="B13" s="51">
        <v>0</v>
      </c>
      <c r="C13" s="51">
        <v>0</v>
      </c>
      <c r="D13" s="51">
        <v>0</v>
      </c>
      <c r="E13" s="51">
        <v>0</v>
      </c>
      <c r="F13" s="51">
        <v>0</v>
      </c>
      <c r="G13" s="119">
        <v>7.609</v>
      </c>
      <c r="H13" s="51">
        <v>0</v>
      </c>
      <c r="I13" s="51">
        <v>0</v>
      </c>
      <c r="J13" s="51">
        <v>0</v>
      </c>
      <c r="K13" s="51">
        <v>0</v>
      </c>
      <c r="L13" s="119">
        <v>8.609</v>
      </c>
      <c r="M13" s="119">
        <f>G13+L13</f>
        <v>16.218</v>
      </c>
    </row>
    <row r="14" spans="1:14" x14ac:dyDescent="0.25">
      <c r="A14" s="82" t="s">
        <v>74</v>
      </c>
      <c r="B14" s="126">
        <f>B16+B17</f>
        <v>0</v>
      </c>
      <c r="C14" s="126">
        <f t="shared" ref="C14:L14" si="1">C16+C17</f>
        <v>1.1000000000000001</v>
      </c>
      <c r="D14" s="126">
        <f t="shared" si="1"/>
        <v>1.1299999999999999</v>
      </c>
      <c r="E14" s="126">
        <f t="shared" si="1"/>
        <v>1.17</v>
      </c>
      <c r="F14" s="126">
        <f t="shared" si="1"/>
        <v>1.51</v>
      </c>
      <c r="G14" s="126">
        <f t="shared" si="1"/>
        <v>8.8290000000000006</v>
      </c>
      <c r="H14" s="126">
        <f t="shared" si="1"/>
        <v>1.26</v>
      </c>
      <c r="I14" s="126">
        <f t="shared" si="1"/>
        <v>1.28</v>
      </c>
      <c r="J14" s="126">
        <f t="shared" si="1"/>
        <v>1.31</v>
      </c>
      <c r="K14" s="126">
        <f t="shared" si="1"/>
        <v>1.71</v>
      </c>
      <c r="L14" s="126">
        <f t="shared" si="1"/>
        <v>9.9890000000000008</v>
      </c>
      <c r="M14" s="127">
        <f t="shared" ref="M14" si="2">SUM(M16:M17)</f>
        <v>29.288</v>
      </c>
    </row>
    <row r="15" spans="1:14" ht="30" x14ac:dyDescent="0.25">
      <c r="A15" s="117" t="s">
        <v>82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</row>
    <row r="16" spans="1:14" x14ac:dyDescent="0.25">
      <c r="A16" s="81" t="s">
        <v>79</v>
      </c>
      <c r="B16" s="95">
        <f>Podsumowanie!F18</f>
        <v>0</v>
      </c>
      <c r="C16" s="95">
        <f>Podsumowanie!G18</f>
        <v>1.1000000000000001</v>
      </c>
      <c r="D16" s="95">
        <f>Podsumowanie!H18</f>
        <v>1.1299999999999999</v>
      </c>
      <c r="E16" s="95">
        <f>Podsumowanie!I18</f>
        <v>1.17</v>
      </c>
      <c r="F16" s="95">
        <f>Podsumowanie!J18</f>
        <v>1.51</v>
      </c>
      <c r="G16" s="95">
        <f>Podsumowanie!K18</f>
        <v>1.22</v>
      </c>
      <c r="H16" s="95">
        <f>Podsumowanie!L18</f>
        <v>1.26</v>
      </c>
      <c r="I16" s="95">
        <f>Podsumowanie!M18</f>
        <v>1.28</v>
      </c>
      <c r="J16" s="95">
        <f>Podsumowanie!N18</f>
        <v>1.31</v>
      </c>
      <c r="K16" s="95">
        <f>Podsumowanie!O18</f>
        <v>1.71</v>
      </c>
      <c r="L16" s="95">
        <f>Podsumowanie!P18</f>
        <v>1.38</v>
      </c>
      <c r="M16" s="95">
        <f>Podsumowanie!Q18</f>
        <v>13.07</v>
      </c>
      <c r="N16" s="51"/>
    </row>
    <row r="17" spans="1:13" x14ac:dyDescent="0.25">
      <c r="A17" s="117" t="s">
        <v>80</v>
      </c>
      <c r="B17" s="51">
        <v>0</v>
      </c>
      <c r="C17" s="51">
        <v>0</v>
      </c>
      <c r="D17" s="51">
        <v>0</v>
      </c>
      <c r="E17" s="51">
        <v>0</v>
      </c>
      <c r="F17" s="51">
        <v>0</v>
      </c>
      <c r="G17" s="119">
        <v>7.609</v>
      </c>
      <c r="H17" s="51">
        <v>0</v>
      </c>
      <c r="I17" s="51">
        <v>0</v>
      </c>
      <c r="J17" s="51">
        <v>0</v>
      </c>
      <c r="K17" s="51">
        <v>0</v>
      </c>
      <c r="L17" s="119">
        <v>8.609</v>
      </c>
      <c r="M17" s="119">
        <f>G17+L17</f>
        <v>16.218</v>
      </c>
    </row>
    <row r="18" spans="1:13" x14ac:dyDescent="0.25">
      <c r="A18" s="82" t="s">
        <v>75</v>
      </c>
      <c r="B18" s="126">
        <f>B3-B14</f>
        <v>0</v>
      </c>
      <c r="C18" s="126">
        <f>C3-C14</f>
        <v>-0.80230084673871482</v>
      </c>
      <c r="D18" s="126">
        <f t="shared" ref="D18:L18" si="3">D3-D14</f>
        <v>-0.8123646897345167</v>
      </c>
      <c r="E18" s="126">
        <f t="shared" si="3"/>
        <v>-0.84442380697787955</v>
      </c>
      <c r="F18" s="126">
        <f t="shared" si="3"/>
        <v>-1.1762844021523269</v>
      </c>
      <c r="G18" s="126">
        <f t="shared" si="3"/>
        <v>-0.87794151220613514</v>
      </c>
      <c r="H18" s="126">
        <f t="shared" si="3"/>
        <v>-0.90939005001128836</v>
      </c>
      <c r="I18" s="126">
        <f t="shared" si="3"/>
        <v>-0.92062480126157042</v>
      </c>
      <c r="J18" s="126">
        <f t="shared" si="3"/>
        <v>-0.94164042129310987</v>
      </c>
      <c r="K18" s="126">
        <f t="shared" si="3"/>
        <v>-1.3324314318254373</v>
      </c>
      <c r="L18" s="126">
        <f t="shared" si="3"/>
        <v>-0.99299221762107415</v>
      </c>
      <c r="M18" s="126">
        <f>SUM(B18:L18)</f>
        <v>-9.6103941798220536</v>
      </c>
    </row>
    <row r="19" spans="1:13" ht="30" x14ac:dyDescent="0.25">
      <c r="A19" s="77" t="s">
        <v>82</v>
      </c>
      <c r="B19" s="51"/>
      <c r="C19" s="51"/>
      <c r="D19" s="51"/>
      <c r="E19" s="51"/>
      <c r="F19" s="51"/>
      <c r="G19" s="51"/>
      <c r="H19" s="51"/>
      <c r="I19" s="51"/>
      <c r="J19" s="51"/>
      <c r="K19" s="51"/>
      <c r="L19" s="51"/>
      <c r="M19" s="51"/>
    </row>
    <row r="20" spans="1:13" x14ac:dyDescent="0.25">
      <c r="A20" s="81" t="s">
        <v>79</v>
      </c>
      <c r="B20" s="131">
        <f>B16</f>
        <v>0</v>
      </c>
      <c r="C20" s="131">
        <f>C16</f>
        <v>1.1000000000000001</v>
      </c>
      <c r="D20" s="131">
        <f t="shared" ref="D20:M20" si="4">D16</f>
        <v>1.1299999999999999</v>
      </c>
      <c r="E20" s="131">
        <f t="shared" si="4"/>
        <v>1.17</v>
      </c>
      <c r="F20" s="131">
        <f t="shared" si="4"/>
        <v>1.51</v>
      </c>
      <c r="G20" s="131">
        <f t="shared" si="4"/>
        <v>1.22</v>
      </c>
      <c r="H20" s="131">
        <f t="shared" si="4"/>
        <v>1.26</v>
      </c>
      <c r="I20" s="131">
        <f t="shared" si="4"/>
        <v>1.28</v>
      </c>
      <c r="J20" s="131">
        <f t="shared" si="4"/>
        <v>1.31</v>
      </c>
      <c r="K20" s="131">
        <f t="shared" si="4"/>
        <v>1.71</v>
      </c>
      <c r="L20" s="131">
        <f t="shared" si="4"/>
        <v>1.38</v>
      </c>
      <c r="M20" s="131">
        <f t="shared" si="4"/>
        <v>13.07</v>
      </c>
    </row>
    <row r="21" spans="1:13" s="83" customFormat="1" x14ac:dyDescent="0.25">
      <c r="A21" s="118" t="s">
        <v>80</v>
      </c>
      <c r="B21" s="132">
        <f>B17</f>
        <v>0</v>
      </c>
      <c r="C21" s="132">
        <f>C17</f>
        <v>0</v>
      </c>
      <c r="D21" s="132">
        <f t="shared" ref="D21" si="5">D17</f>
        <v>0</v>
      </c>
      <c r="E21" s="132">
        <f>E17</f>
        <v>0</v>
      </c>
      <c r="F21" s="132">
        <f t="shared" ref="F21" si="6">F17</f>
        <v>0</v>
      </c>
      <c r="G21" s="133">
        <f>G17</f>
        <v>7.609</v>
      </c>
      <c r="H21" s="132">
        <f t="shared" ref="H21" si="7">H17</f>
        <v>0</v>
      </c>
      <c r="I21" s="132">
        <f>I17</f>
        <v>0</v>
      </c>
      <c r="J21" s="132">
        <f t="shared" ref="J21" si="8">J17</f>
        <v>0</v>
      </c>
      <c r="K21" s="132">
        <f>K17</f>
        <v>0</v>
      </c>
      <c r="L21" s="133">
        <f t="shared" ref="L21" si="9">L17</f>
        <v>8.609</v>
      </c>
      <c r="M21" s="133">
        <f t="shared" ref="M21" si="10">+M17</f>
        <v>16.218</v>
      </c>
    </row>
    <row r="22" spans="1:13" x14ac:dyDescent="0.25">
      <c r="A22" s="117" t="s">
        <v>86</v>
      </c>
      <c r="B22" s="119">
        <f t="shared" ref="B22:M22" si="11">B12+B13</f>
        <v>0</v>
      </c>
      <c r="C22" s="119">
        <f t="shared" si="11"/>
        <v>0.12493678172665781</v>
      </c>
      <c r="D22" s="119">
        <f t="shared" si="11"/>
        <v>0.1386798277165901</v>
      </c>
      <c r="E22" s="119">
        <f t="shared" si="11"/>
        <v>0.14214682340950491</v>
      </c>
      <c r="F22" s="119">
        <f t="shared" si="11"/>
        <v>0.14570049399474252</v>
      </c>
      <c r="G22" s="119">
        <f t="shared" si="11"/>
        <v>7.758343006344611</v>
      </c>
      <c r="H22" s="119">
        <f t="shared" si="11"/>
        <v>0.15307658150322631</v>
      </c>
      <c r="I22" s="119">
        <f t="shared" si="11"/>
        <v>0.15690349604080703</v>
      </c>
      <c r="J22" s="119">
        <f t="shared" si="11"/>
        <v>0.16082608344182717</v>
      </c>
      <c r="K22" s="119">
        <f t="shared" si="11"/>
        <v>0.16484673552787285</v>
      </c>
      <c r="L22" s="119">
        <f t="shared" si="11"/>
        <v>8.7779679039160694</v>
      </c>
      <c r="M22" s="119">
        <f t="shared" si="11"/>
        <v>17.723427733621911</v>
      </c>
    </row>
    <row r="25" spans="1:13" ht="15.75" x14ac:dyDescent="0.25">
      <c r="A25" s="136" t="s">
        <v>76</v>
      </c>
      <c r="B25" s="137"/>
    </row>
    <row r="30" spans="1:13" x14ac:dyDescent="0.25">
      <c r="A30" s="128"/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75"/>
    </row>
    <row r="31" spans="1:13" x14ac:dyDescent="0.25">
      <c r="A31" s="130"/>
      <c r="B31" s="130"/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x14ac:dyDescent="0.25">
      <c r="A32"/>
    </row>
  </sheetData>
  <mergeCells count="1">
    <mergeCell ref="A25:B25"/>
  </mergeCells>
  <pageMargins left="0.7" right="0.7" top="0.75" bottom="0.75" header="0.3" footer="0.3"/>
  <pageSetup paperSize="11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FA42D-EF04-4F5F-8C55-7D00246C0B06}">
  <dimension ref="E4:R32"/>
  <sheetViews>
    <sheetView topLeftCell="A4" zoomScale="55" zoomScaleNormal="55" workbookViewId="0">
      <selection activeCell="E28" sqref="E28"/>
    </sheetView>
  </sheetViews>
  <sheetFormatPr defaultRowHeight="15" x14ac:dyDescent="0.25"/>
  <cols>
    <col min="5" max="5" width="73.42578125" customWidth="1"/>
    <col min="6" max="6" width="21.5703125" customWidth="1"/>
    <col min="7" max="7" width="12.42578125" customWidth="1"/>
    <col min="8" max="8" width="13.5703125" customWidth="1"/>
    <col min="9" max="9" width="16.42578125" customWidth="1"/>
    <col min="10" max="10" width="13.5703125" customWidth="1"/>
    <col min="11" max="11" width="14.140625" customWidth="1"/>
    <col min="12" max="12" width="13.85546875" customWidth="1"/>
    <col min="13" max="13" width="17.140625" customWidth="1"/>
    <col min="14" max="14" width="12.42578125" customWidth="1"/>
    <col min="15" max="15" width="13" customWidth="1"/>
    <col min="16" max="16" width="14" customWidth="1"/>
    <col min="17" max="17" width="21.42578125" customWidth="1"/>
    <col min="18" max="18" width="12.42578125" bestFit="1" customWidth="1"/>
  </cols>
  <sheetData>
    <row r="4" spans="5:18" ht="22.5" x14ac:dyDescent="0.3">
      <c r="E4" s="60" t="s">
        <v>36</v>
      </c>
      <c r="F4" s="60"/>
    </row>
    <row r="10" spans="5:18" x14ac:dyDescent="0.25">
      <c r="E10" s="52"/>
      <c r="F10" s="108">
        <v>2026</v>
      </c>
      <c r="G10" s="54">
        <v>2029</v>
      </c>
      <c r="H10" s="54">
        <v>2030</v>
      </c>
      <c r="I10" s="54">
        <v>2031</v>
      </c>
      <c r="J10" s="54">
        <v>2032</v>
      </c>
      <c r="K10" s="54">
        <v>2033</v>
      </c>
      <c r="L10" s="54">
        <v>2034</v>
      </c>
      <c r="M10" s="54">
        <v>2035</v>
      </c>
      <c r="N10" s="54">
        <v>2036</v>
      </c>
      <c r="O10" s="54">
        <v>2037</v>
      </c>
      <c r="P10" s="54">
        <v>2038</v>
      </c>
      <c r="Q10" s="63" t="s">
        <v>39</v>
      </c>
    </row>
    <row r="11" spans="5:18" x14ac:dyDescent="0.25">
      <c r="E11" s="50" t="s">
        <v>33</v>
      </c>
      <c r="F11" s="134">
        <v>0</v>
      </c>
      <c r="G11" s="53" cm="1">
        <f t="array" ref="G11:P11">'wynagrodzenia i koszty zatrudn '!H33:Q33</f>
        <v>601225.70705926407</v>
      </c>
      <c r="H11" s="53">
        <v>622426.0100173133</v>
      </c>
      <c r="I11" s="53">
        <v>637986.66026774631</v>
      </c>
      <c r="J11" s="53">
        <v>653936.32677443977</v>
      </c>
      <c r="K11" s="53">
        <v>670284.73494380084</v>
      </c>
      <c r="L11" s="53">
        <v>687041.85331739567</v>
      </c>
      <c r="M11" s="53">
        <v>704217.89965033077</v>
      </c>
      <c r="N11" s="53">
        <v>721823.34714158892</v>
      </c>
      <c r="O11" s="53">
        <v>739868.93082012865</v>
      </c>
      <c r="P11" s="64">
        <v>758365.65409063199</v>
      </c>
      <c r="Q11" s="66">
        <f>SUM(F11:P11)</f>
        <v>6797177.1240826398</v>
      </c>
    </row>
    <row r="12" spans="5:18" x14ac:dyDescent="0.25">
      <c r="E12" s="55" t="s">
        <v>34</v>
      </c>
      <c r="F12" s="135">
        <v>0</v>
      </c>
      <c r="G12" s="51">
        <f>'wynagrodzenia i koszty zatrudn '!H34</f>
        <v>468388.75891904783</v>
      </c>
      <c r="H12" s="51">
        <f>'wynagrodzenia i koszty zatrudn '!I34</f>
        <v>519141.22218160436</v>
      </c>
      <c r="I12" s="51">
        <f>'wynagrodzenia i koszty zatrudn '!J34</f>
        <v>532119.75273614458</v>
      </c>
      <c r="J12" s="51">
        <f>'wynagrodzenia i koszty zatrudn '!K34</f>
        <v>545422.74655454827</v>
      </c>
      <c r="K12" s="51">
        <f>'wynagrodzenia i koszty zatrudn '!L34</f>
        <v>559058.31521841185</v>
      </c>
      <c r="L12" s="51">
        <f>'wynagrodzenia i koszty zatrudn '!M34</f>
        <v>573034.77309887204</v>
      </c>
      <c r="M12" s="51">
        <f>'wynagrodzenia i koszty zatrudn '!N34</f>
        <v>587360.64242634398</v>
      </c>
      <c r="N12" s="51">
        <f>'wynagrodzenia i koszty zatrudn '!O34</f>
        <v>602044.65848700248</v>
      </c>
      <c r="O12" s="51">
        <f>'wynagrodzenia i koszty zatrudn '!P34</f>
        <v>617095.77494917763</v>
      </c>
      <c r="P12" s="65">
        <f>'wynagrodzenia i koszty zatrudn '!Q34</f>
        <v>632523.16932290711</v>
      </c>
      <c r="Q12" s="109">
        <f>SUM(F12:P12)</f>
        <v>5636189.8138940604</v>
      </c>
    </row>
    <row r="13" spans="5:18" x14ac:dyDescent="0.25">
      <c r="E13" s="56" t="s">
        <v>35</v>
      </c>
      <c r="F13" s="61">
        <v>0</v>
      </c>
      <c r="G13" s="51">
        <f>G11-G12</f>
        <v>132836.94814021623</v>
      </c>
      <c r="H13" s="51">
        <f>H11-H12</f>
        <v>103284.78783570894</v>
      </c>
      <c r="I13" s="51">
        <f t="shared" ref="I13:P13" si="0">I11-I12</f>
        <v>105866.90753160173</v>
      </c>
      <c r="J13" s="51">
        <f t="shared" si="0"/>
        <v>108513.5802198915</v>
      </c>
      <c r="K13" s="51">
        <f t="shared" si="0"/>
        <v>111226.41972538899</v>
      </c>
      <c r="L13" s="51">
        <f t="shared" si="0"/>
        <v>114007.08021852362</v>
      </c>
      <c r="M13" s="51">
        <f t="shared" si="0"/>
        <v>116857.25722398679</v>
      </c>
      <c r="N13" s="51">
        <f t="shared" si="0"/>
        <v>119778.68865458644</v>
      </c>
      <c r="O13" s="51">
        <f t="shared" si="0"/>
        <v>122773.15587095101</v>
      </c>
      <c r="P13" s="65">
        <f t="shared" si="0"/>
        <v>125842.48476772488</v>
      </c>
      <c r="Q13" s="61">
        <f>SUM(F13:P13)</f>
        <v>1160987.3101885801</v>
      </c>
    </row>
    <row r="14" spans="5:18" ht="18.75" customHeight="1" x14ac:dyDescent="0.25">
      <c r="E14" s="50" t="s">
        <v>30</v>
      </c>
      <c r="F14" s="53">
        <v>0</v>
      </c>
      <c r="G14" s="53">
        <v>500000</v>
      </c>
      <c r="H14" s="53">
        <v>510000</v>
      </c>
      <c r="I14" s="53">
        <v>530000</v>
      </c>
      <c r="J14" s="53">
        <v>860000</v>
      </c>
      <c r="K14" s="53">
        <v>550000</v>
      </c>
      <c r="L14" s="53">
        <v>570000</v>
      </c>
      <c r="M14" s="53">
        <v>580000</v>
      </c>
      <c r="N14" s="53">
        <v>590000</v>
      </c>
      <c r="O14" s="53">
        <v>970000</v>
      </c>
      <c r="P14" s="64">
        <v>620000</v>
      </c>
      <c r="Q14" s="66">
        <f>SUM(F14:P14)</f>
        <v>6280000</v>
      </c>
    </row>
    <row r="15" spans="5:18" x14ac:dyDescent="0.25">
      <c r="E15" s="50" t="s">
        <v>37</v>
      </c>
      <c r="F15" s="134">
        <f>F11+F14</f>
        <v>0</v>
      </c>
      <c r="G15" s="53">
        <f>G11+G14</f>
        <v>1101225.7070592642</v>
      </c>
      <c r="H15" s="53">
        <f t="shared" ref="H15:P15" si="1">H11+H14</f>
        <v>1132426.0100173133</v>
      </c>
      <c r="I15" s="53">
        <f t="shared" si="1"/>
        <v>1167986.6602677463</v>
      </c>
      <c r="J15" s="53">
        <f t="shared" si="1"/>
        <v>1513936.3267744398</v>
      </c>
      <c r="K15" s="53">
        <f t="shared" si="1"/>
        <v>1220284.7349438008</v>
      </c>
      <c r="L15" s="53">
        <f t="shared" si="1"/>
        <v>1257041.8533173958</v>
      </c>
      <c r="M15" s="53">
        <f t="shared" si="1"/>
        <v>1284217.8996503307</v>
      </c>
      <c r="N15" s="53">
        <f t="shared" si="1"/>
        <v>1311823.347141589</v>
      </c>
      <c r="O15" s="53">
        <f t="shared" si="1"/>
        <v>1709868.9308201286</v>
      </c>
      <c r="P15" s="64">
        <f t="shared" si="1"/>
        <v>1378365.654090632</v>
      </c>
      <c r="Q15" s="66">
        <f>SUM(F15:P15)</f>
        <v>13077177.124082638</v>
      </c>
      <c r="R15" s="59"/>
    </row>
    <row r="16" spans="5:18" x14ac:dyDescent="0.25">
      <c r="Q16" s="51"/>
    </row>
    <row r="17" spans="5:17" x14ac:dyDescent="0.25">
      <c r="E17" s="62" t="s">
        <v>38</v>
      </c>
      <c r="F17" s="71">
        <f>F15/1000000</f>
        <v>0</v>
      </c>
      <c r="G17" s="71">
        <f>G15/1000000</f>
        <v>1.1012257070592641</v>
      </c>
      <c r="H17" s="71">
        <f t="shared" ref="H17:O17" si="2">H15/1000000</f>
        <v>1.1324260100173134</v>
      </c>
      <c r="I17" s="71">
        <f t="shared" si="2"/>
        <v>1.1679866602677462</v>
      </c>
      <c r="J17" s="71">
        <f t="shared" si="2"/>
        <v>1.5139363267744397</v>
      </c>
      <c r="K17" s="71">
        <f t="shared" si="2"/>
        <v>1.2202847349438009</v>
      </c>
      <c r="L17" s="71">
        <f t="shared" si="2"/>
        <v>1.2570418533173957</v>
      </c>
      <c r="M17" s="71">
        <f t="shared" si="2"/>
        <v>1.2842178996503306</v>
      </c>
      <c r="N17" s="71">
        <f t="shared" si="2"/>
        <v>1.311823347141589</v>
      </c>
      <c r="O17" s="71">
        <f t="shared" si="2"/>
        <v>1.7098689308201287</v>
      </c>
      <c r="P17" s="71">
        <f>P15/1000000</f>
        <v>1.3783656540906319</v>
      </c>
      <c r="Q17" s="71">
        <f>Q15/1000000</f>
        <v>13.077177124082638</v>
      </c>
    </row>
    <row r="18" spans="5:17" x14ac:dyDescent="0.25">
      <c r="E18" s="72" t="s">
        <v>44</v>
      </c>
      <c r="F18" s="72">
        <v>0</v>
      </c>
      <c r="G18" s="74">
        <v>1.1000000000000001</v>
      </c>
      <c r="H18" s="74">
        <v>1.1299999999999999</v>
      </c>
      <c r="I18" s="74">
        <v>1.17</v>
      </c>
      <c r="J18" s="74">
        <v>1.51</v>
      </c>
      <c r="K18" s="74">
        <v>1.22</v>
      </c>
      <c r="L18" s="74">
        <v>1.26</v>
      </c>
      <c r="M18" s="74">
        <v>1.28</v>
      </c>
      <c r="N18" s="74">
        <v>1.31</v>
      </c>
      <c r="O18" s="74">
        <v>1.71</v>
      </c>
      <c r="P18" s="74">
        <v>1.38</v>
      </c>
      <c r="Q18" s="74">
        <f>SUM(F18:P18)</f>
        <v>13.07</v>
      </c>
    </row>
    <row r="21" spans="5:17" x14ac:dyDescent="0.25">
      <c r="E21" s="93" t="s">
        <v>63</v>
      </c>
      <c r="F21" s="109">
        <v>0</v>
      </c>
      <c r="G21" s="51">
        <f>'wynagrodzenia i koszty zatrudn '!H35</f>
        <v>22047.667363527849</v>
      </c>
      <c r="H21" s="51">
        <f>'wynagrodzenia i koszty zatrudn '!I35</f>
        <v>24472.910773515905</v>
      </c>
      <c r="I21" s="51">
        <f>'wynagrodzenia i koszty zatrudn '!J35</f>
        <v>25084.733542853806</v>
      </c>
      <c r="J21" s="51">
        <f>'wynagrodzenia i koszty zatrudn '!K35</f>
        <v>25711.851881425147</v>
      </c>
      <c r="K21" s="51">
        <f>'wynagrodzenia i koszty zatrudn '!L35</f>
        <v>26354.648178460779</v>
      </c>
      <c r="L21" s="51">
        <f>'wynagrodzenia i koszty zatrudn '!M35</f>
        <v>27013.514382922291</v>
      </c>
      <c r="M21" s="51">
        <f>'wynagrodzenia i koszty zatrudn '!N35</f>
        <v>27688.852242495359</v>
      </c>
      <c r="N21" s="51">
        <f>'wynagrodzenia i koszty zatrudn '!O35</f>
        <v>28381.073548557732</v>
      </c>
      <c r="O21" s="51">
        <f>'wynagrodzenia i koszty zatrudn '!P35</f>
        <v>29090.600387271683</v>
      </c>
      <c r="P21" s="51">
        <f>'wynagrodzenia i koszty zatrudn '!Q35</f>
        <v>29817.865396953468</v>
      </c>
      <c r="Q21" s="51">
        <f t="shared" ref="Q21:Q28" si="3">SUM(F21:P21)</f>
        <v>265663.71769798402</v>
      </c>
    </row>
    <row r="22" spans="5:17" x14ac:dyDescent="0.25">
      <c r="E22" s="93" t="s">
        <v>64</v>
      </c>
      <c r="F22" s="109">
        <v>0</v>
      </c>
      <c r="G22" s="51">
        <f>'wynagrodzenia i koszty zatrudn '!H36</f>
        <v>124936.78172665782</v>
      </c>
      <c r="H22" s="51">
        <f>'wynagrodzenia i koszty zatrudn '!I36</f>
        <v>138679.82771659011</v>
      </c>
      <c r="I22" s="51">
        <f>'wynagrodzenia i koszty zatrudn '!J36</f>
        <v>142146.8234095049</v>
      </c>
      <c r="J22" s="51">
        <f>'wynagrodzenia i koszty zatrudn '!K36</f>
        <v>145700.49399474252</v>
      </c>
      <c r="K22" s="51">
        <f>'wynagrodzenia i koszty zatrudn '!L36</f>
        <v>149343.00634461109</v>
      </c>
      <c r="L22" s="51">
        <f>'wynagrodzenia i koszty zatrudn '!M36</f>
        <v>153076.58150322631</v>
      </c>
      <c r="M22" s="51">
        <f>'wynagrodzenia i koszty zatrudn '!N36</f>
        <v>156903.49604080702</v>
      </c>
      <c r="N22" s="51">
        <f>'wynagrodzenia i koszty zatrudn '!O36</f>
        <v>160826.08344182716</v>
      </c>
      <c r="O22" s="51">
        <f>'wynagrodzenia i koszty zatrudn '!P36</f>
        <v>164846.73552787286</v>
      </c>
      <c r="P22" s="51">
        <f>'wynagrodzenia i koszty zatrudn '!Q36</f>
        <v>168967.90391606966</v>
      </c>
      <c r="Q22" s="51">
        <f t="shared" si="3"/>
        <v>1505427.7336219093</v>
      </c>
    </row>
    <row r="23" spans="5:17" x14ac:dyDescent="0.25">
      <c r="E23" s="84" t="s">
        <v>65</v>
      </c>
      <c r="F23" s="110">
        <v>0</v>
      </c>
      <c r="G23" s="51">
        <f>G24+G25+G26+G27+G28</f>
        <v>150714.70417109961</v>
      </c>
      <c r="H23" s="51">
        <f>H24+H25+H26+H27+H28</f>
        <v>154482.57177537715</v>
      </c>
      <c r="I23" s="51">
        <f>I24+I25+I26+I27+I28</f>
        <v>158344.63606976159</v>
      </c>
      <c r="J23" s="51">
        <f>J24+J25+J26+J27+J28</f>
        <v>162303.25197150558</v>
      </c>
      <c r="K23" s="51">
        <f>K24+K25+K26+K27+K28</f>
        <v>166360.83327079323</v>
      </c>
      <c r="L23" s="51">
        <f t="shared" ref="L23:P23" si="4">L24+L25+L26+L27+L28</f>
        <v>170519.854102563</v>
      </c>
      <c r="M23" s="51">
        <f t="shared" si="4"/>
        <v>174782.85045512716</v>
      </c>
      <c r="N23" s="51">
        <f t="shared" si="4"/>
        <v>179152.42171650531</v>
      </c>
      <c r="O23" s="51">
        <f t="shared" si="4"/>
        <v>183631.23225941797</v>
      </c>
      <c r="P23" s="51">
        <f t="shared" si="4"/>
        <v>188222.01306590339</v>
      </c>
      <c r="Q23" s="51">
        <f t="shared" si="3"/>
        <v>1688514.3688580538</v>
      </c>
    </row>
    <row r="24" spans="5:17" s="97" customFormat="1" x14ac:dyDescent="0.25">
      <c r="E24" s="111" t="s">
        <v>87</v>
      </c>
      <c r="F24" s="112">
        <v>0</v>
      </c>
      <c r="G24" s="113">
        <f>'wynagrodzenia i koszty zatrudn '!F64</f>
        <v>107053.93584463358</v>
      </c>
      <c r="H24" s="113">
        <f>'wynagrodzenia i koszty zatrudn '!G64</f>
        <v>109730.28424074946</v>
      </c>
      <c r="I24" s="113">
        <f>'wynagrodzenia i koszty zatrudn '!H64</f>
        <v>112473.54134676819</v>
      </c>
      <c r="J24" s="113">
        <f>'wynagrodzenia i koszty zatrudn '!I64</f>
        <v>115285.37988043738</v>
      </c>
      <c r="K24" s="113">
        <f>'wynagrodzenia i koszty zatrudn '!J64</f>
        <v>118167.51437744831</v>
      </c>
      <c r="L24" s="113">
        <f>'wynagrodzenia i koszty zatrudn '!K64</f>
        <v>121121.70223688449</v>
      </c>
      <c r="M24" s="113">
        <f>'wynagrodzenia i koszty zatrudn '!L64</f>
        <v>124149.74479280664</v>
      </c>
      <c r="N24" s="113">
        <f>'wynagrodzenia i koszty zatrudn '!M64</f>
        <v>127253.48841262679</v>
      </c>
      <c r="O24" s="113">
        <f>'wynagrodzenia i koszty zatrudn '!N64</f>
        <v>130434.82562294247</v>
      </c>
      <c r="P24" s="113">
        <f>'wynagrodzenia i koszty zatrudn '!O64</f>
        <v>133695.69626351603</v>
      </c>
      <c r="Q24" s="113">
        <f t="shared" si="3"/>
        <v>1199366.1130188135</v>
      </c>
    </row>
    <row r="25" spans="5:17" x14ac:dyDescent="0.25">
      <c r="E25" s="111" t="s">
        <v>88</v>
      </c>
      <c r="F25" s="114">
        <v>0</v>
      </c>
      <c r="G25" s="113">
        <f>'wynagrodzenia i koszty zatrudn '!F62</f>
        <v>34021.377916726771</v>
      </c>
      <c r="H25" s="113">
        <f>'wynagrodzenia i koszty zatrudn '!G62</f>
        <v>34871.912364644952</v>
      </c>
      <c r="I25" s="113">
        <f>'wynagrodzenia i koszty zatrudn '!H62</f>
        <v>35743.710173761079</v>
      </c>
      <c r="J25" s="113">
        <f>'wynagrodzenia i koszty zatrudn '!I62</f>
        <v>36637.302928105091</v>
      </c>
      <c r="K25" s="113">
        <f>'wynagrodzenia i koszty zatrudn '!J62</f>
        <v>37553.235501307725</v>
      </c>
      <c r="L25" s="113">
        <f>'wynagrodzenia i koszty zatrudn '!K62</f>
        <v>38492.066388840409</v>
      </c>
      <c r="M25" s="113">
        <f>'wynagrodzenia i koszty zatrudn '!L62</f>
        <v>39454.368048561424</v>
      </c>
      <c r="N25" s="113">
        <f>'wynagrodzenia i koszty zatrudn '!M62</f>
        <v>40440.72724977546</v>
      </c>
      <c r="O25" s="113">
        <f>'wynagrodzenia i koszty zatrudn '!N62</f>
        <v>41451.745431019852</v>
      </c>
      <c r="P25" s="113">
        <f>'wynagrodzenia i koszty zatrudn '!O62</f>
        <v>42488.03906679534</v>
      </c>
      <c r="Q25" s="113">
        <f t="shared" si="3"/>
        <v>381154.48506953812</v>
      </c>
    </row>
    <row r="26" spans="5:17" x14ac:dyDescent="0.25">
      <c r="E26" s="84" t="s">
        <v>89</v>
      </c>
      <c r="F26" s="110">
        <v>0</v>
      </c>
      <c r="G26" s="51">
        <f>'wynagrodzenia i koszty zatrudn '!F53</f>
        <v>3780.1531018585306</v>
      </c>
      <c r="H26" s="51">
        <f>'wynagrodzenia i koszty zatrudn '!G53</f>
        <v>3874.6569294049946</v>
      </c>
      <c r="I26" s="51">
        <f>'wynagrodzenia i koszty zatrudn '!H53</f>
        <v>3971.5233526401198</v>
      </c>
      <c r="J26" s="51">
        <f>'wynagrodzenia i koszty zatrudn '!I53</f>
        <v>4070.811436456122</v>
      </c>
      <c r="K26" s="51">
        <f>'wynagrodzenia i koszty zatrudn '!J53</f>
        <v>4172.5817223675249</v>
      </c>
      <c r="L26" s="51">
        <f>'wynagrodzenia i koszty zatrudn '!K53</f>
        <v>4276.8962654267125</v>
      </c>
      <c r="M26" s="51">
        <f>'wynagrodzenia i koszty zatrudn '!L53</f>
        <v>4383.8186720623808</v>
      </c>
      <c r="N26" s="51">
        <f>'wynagrodzenia i koszty zatrudn '!M53</f>
        <v>4493.41413886394</v>
      </c>
      <c r="O26" s="51">
        <f>'wynagrodzenia i koszty zatrudn '!N53</f>
        <v>4605.7494923355389</v>
      </c>
      <c r="P26" s="51">
        <f>'wynagrodzenia i koszty zatrudn '!O53</f>
        <v>4720.893229643927</v>
      </c>
      <c r="Q26" s="51">
        <f t="shared" si="3"/>
        <v>42350.498341059792</v>
      </c>
    </row>
    <row r="27" spans="5:17" x14ac:dyDescent="0.25">
      <c r="E27" s="93" t="s">
        <v>90</v>
      </c>
      <c r="F27" s="109">
        <v>0</v>
      </c>
      <c r="G27" s="51">
        <f>'wynagrodzenia i koszty zatrudn '!F54</f>
        <v>5481.2219976948691</v>
      </c>
      <c r="H27" s="51">
        <f>'wynagrodzenia i koszty zatrudn '!G54</f>
        <v>5618.2525476372421</v>
      </c>
      <c r="I27" s="51">
        <f>'wynagrodzenia i koszty zatrudn '!H54</f>
        <v>5758.708861328174</v>
      </c>
      <c r="J27" s="51">
        <f>'wynagrodzenia i koszty zatrudn '!I54</f>
        <v>5902.676582861377</v>
      </c>
      <c r="K27" s="51">
        <f>'wynagrodzenia i koszty zatrudn '!J54</f>
        <v>6050.2434974329117</v>
      </c>
      <c r="L27" s="51">
        <f>'wynagrodzenia i koszty zatrudn '!K54</f>
        <v>6201.4995848687331</v>
      </c>
      <c r="M27" s="51">
        <f>'wynagrodzenia i koszty zatrudn '!L54</f>
        <v>6356.5370744904531</v>
      </c>
      <c r="N27" s="51">
        <f>'wynagrodzenia i koszty zatrudn '!M54</f>
        <v>6515.4505013527132</v>
      </c>
      <c r="O27" s="51">
        <f>'wynagrodzenia i koszty zatrudn '!N54</f>
        <v>6678.336763886532</v>
      </c>
      <c r="P27" s="51">
        <f>'wynagrodzenia i koszty zatrudn '!O54</f>
        <v>6845.2951829836948</v>
      </c>
      <c r="Q27" s="51">
        <f t="shared" si="3"/>
        <v>61408.222594536703</v>
      </c>
    </row>
    <row r="28" spans="5:17" x14ac:dyDescent="0.25">
      <c r="E28" s="94" t="s">
        <v>91</v>
      </c>
      <c r="F28" s="115">
        <v>0</v>
      </c>
      <c r="G28" s="92">
        <f>'wynagrodzenia i koszty zatrudn '!F55</f>
        <v>378.01531018585302</v>
      </c>
      <c r="H28" s="92">
        <f>'wynagrodzenia i koszty zatrudn '!G55</f>
        <v>387.46569294049948</v>
      </c>
      <c r="I28" s="92">
        <f>'wynagrodzenia i koszty zatrudn '!H55</f>
        <v>397.15233526401198</v>
      </c>
      <c r="J28" s="92">
        <f>'wynagrodzenia i koszty zatrudn '!I55</f>
        <v>407.0811436456122</v>
      </c>
      <c r="K28" s="92">
        <f>'wynagrodzenia i koszty zatrudn '!J55</f>
        <v>417.25817223675256</v>
      </c>
      <c r="L28" s="92">
        <f>'wynagrodzenia i koszty zatrudn '!K55</f>
        <v>427.68962654267125</v>
      </c>
      <c r="M28" s="92">
        <f>'wynagrodzenia i koszty zatrudn '!L55</f>
        <v>438.3818672062381</v>
      </c>
      <c r="N28" s="92">
        <f>'wynagrodzenia i koszty zatrudn '!M55</f>
        <v>449.34141388639404</v>
      </c>
      <c r="O28" s="92">
        <f>'wynagrodzenia i koszty zatrudn '!N55</f>
        <v>460.57494923355392</v>
      </c>
      <c r="P28" s="92">
        <f>'wynagrodzenia i koszty zatrudn '!O55</f>
        <v>472.08932296439275</v>
      </c>
      <c r="Q28" s="51">
        <f t="shared" si="3"/>
        <v>4235.0498341059792</v>
      </c>
    </row>
    <row r="29" spans="5:17" x14ac:dyDescent="0.25">
      <c r="E29" s="93"/>
      <c r="F29" s="6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>
        <f>SUM(Q21:Q28)</f>
        <v>5148120.1890360024</v>
      </c>
    </row>
    <row r="30" spans="5:17" x14ac:dyDescent="0.25">
      <c r="E30" s="93" t="s">
        <v>84</v>
      </c>
      <c r="F30" s="109">
        <v>0</v>
      </c>
      <c r="G30" s="51">
        <f>SUM(G26:G27)</f>
        <v>9261.3750995533992</v>
      </c>
      <c r="H30" s="51">
        <f t="shared" ref="H30:N30" si="5">SUM(H26:H27)</f>
        <v>9492.9094770422362</v>
      </c>
      <c r="I30" s="51">
        <f t="shared" si="5"/>
        <v>9730.2322139682947</v>
      </c>
      <c r="J30" s="51">
        <f t="shared" si="5"/>
        <v>9973.4880193174995</v>
      </c>
      <c r="K30" s="51">
        <f t="shared" si="5"/>
        <v>10222.825219800437</v>
      </c>
      <c r="L30" s="51">
        <f>SUM(L26:L27)</f>
        <v>10478.395850295445</v>
      </c>
      <c r="M30" s="51">
        <f>SUM(M26:M27)</f>
        <v>10740.355746552834</v>
      </c>
      <c r="N30" s="51">
        <f t="shared" si="5"/>
        <v>11008.864640216652</v>
      </c>
      <c r="O30" s="51">
        <f>SUM(O26:O27)</f>
        <v>11284.086256222072</v>
      </c>
      <c r="P30" s="51">
        <f>SUM(P26:P27)</f>
        <v>11566.188412627622</v>
      </c>
      <c r="Q30" s="51">
        <f>SUM(F30:P30)</f>
        <v>103758.72093559649</v>
      </c>
    </row>
    <row r="31" spans="5:17" x14ac:dyDescent="0.25">
      <c r="G31" s="75"/>
      <c r="H31" s="75"/>
      <c r="I31" s="75"/>
      <c r="J31" s="75"/>
      <c r="K31" s="75"/>
      <c r="L31" s="75"/>
      <c r="M31" s="75"/>
      <c r="N31" s="75"/>
      <c r="O31" s="75"/>
      <c r="P31" s="75"/>
    </row>
    <row r="32" spans="5:17" x14ac:dyDescent="0.25">
      <c r="G32" s="75"/>
      <c r="H32" s="75"/>
      <c r="I32" s="75"/>
      <c r="J32" s="75"/>
      <c r="K32" s="75"/>
      <c r="L32" s="75"/>
      <c r="M32" s="75"/>
      <c r="N32" s="75"/>
      <c r="O32" s="75"/>
      <c r="P32" s="7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A34B7-6F4E-4225-807E-C1DABBC739F0}">
  <dimension ref="A1:S68"/>
  <sheetViews>
    <sheetView tabSelected="1" topLeftCell="A46" zoomScale="70" zoomScaleNormal="70" workbookViewId="0">
      <selection activeCell="B25" sqref="B25"/>
    </sheetView>
  </sheetViews>
  <sheetFormatPr defaultRowHeight="15" x14ac:dyDescent="0.25"/>
  <cols>
    <col min="1" max="1" width="18.7109375" customWidth="1"/>
    <col min="2" max="2" width="27" customWidth="1"/>
    <col min="3" max="3" width="28.28515625" customWidth="1"/>
    <col min="4" max="4" width="13.42578125" customWidth="1"/>
    <col min="5" max="5" width="17" customWidth="1"/>
    <col min="6" max="6" width="19.42578125" customWidth="1"/>
    <col min="7" max="14" width="16.42578125" customWidth="1"/>
    <col min="15" max="19" width="15.5703125" bestFit="1" customWidth="1"/>
  </cols>
  <sheetData>
    <row r="1" spans="1:19" s="31" customFormat="1" ht="18.75" customHeight="1" x14ac:dyDescent="0.25">
      <c r="B1" s="143" t="s">
        <v>27</v>
      </c>
      <c r="C1" s="144" t="s">
        <v>26</v>
      </c>
      <c r="D1" s="146" t="s">
        <v>25</v>
      </c>
      <c r="E1" s="148" t="s">
        <v>24</v>
      </c>
      <c r="F1" s="150">
        <v>2025</v>
      </c>
      <c r="G1" s="151"/>
      <c r="H1" s="34">
        <v>2029</v>
      </c>
      <c r="I1" s="34">
        <v>2030</v>
      </c>
      <c r="J1" s="34">
        <v>2031</v>
      </c>
      <c r="K1" s="34">
        <v>2032</v>
      </c>
      <c r="L1" s="34">
        <v>2033</v>
      </c>
      <c r="M1" s="34">
        <v>2034</v>
      </c>
      <c r="N1" s="34">
        <v>2035</v>
      </c>
      <c r="O1" s="34">
        <v>2036</v>
      </c>
      <c r="P1" s="34">
        <v>2037</v>
      </c>
      <c r="Q1" s="34">
        <v>2038</v>
      </c>
    </row>
    <row r="2" spans="1:19" s="31" customFormat="1" ht="11.25" customHeight="1" thickBot="1" x14ac:dyDescent="0.3">
      <c r="B2" s="143"/>
      <c r="C2" s="145"/>
      <c r="D2" s="147"/>
      <c r="E2" s="149"/>
      <c r="F2" s="33" t="s">
        <v>23</v>
      </c>
      <c r="G2" s="33" t="s">
        <v>22</v>
      </c>
      <c r="H2" s="33" t="s">
        <v>22</v>
      </c>
      <c r="I2" s="33" t="s">
        <v>22</v>
      </c>
      <c r="J2" s="33" t="s">
        <v>22</v>
      </c>
      <c r="K2" s="33" t="s">
        <v>22</v>
      </c>
      <c r="L2" s="33" t="s">
        <v>22</v>
      </c>
      <c r="M2" s="33" t="s">
        <v>22</v>
      </c>
      <c r="N2" s="32" t="s">
        <v>22</v>
      </c>
      <c r="O2" s="32" t="s">
        <v>22</v>
      </c>
      <c r="P2" s="32" t="s">
        <v>22</v>
      </c>
      <c r="Q2" s="32" t="s">
        <v>22</v>
      </c>
    </row>
    <row r="3" spans="1:19" ht="17.25" customHeight="1" x14ac:dyDescent="0.25">
      <c r="A3" s="152" t="s">
        <v>29</v>
      </c>
      <c r="B3" s="17" t="s">
        <v>21</v>
      </c>
      <c r="C3" s="30" t="s">
        <v>20</v>
      </c>
      <c r="D3" s="25"/>
      <c r="E3" s="29">
        <v>1</v>
      </c>
      <c r="F3" s="29">
        <v>12</v>
      </c>
      <c r="G3" s="24">
        <f>'wynagrodzenia i koszty zatrudn '!D40*F3*E3</f>
        <v>113600.3652</v>
      </c>
      <c r="H3" s="24">
        <f>'wynagrodzenia i koszty zatrudn '!H40*$E3*12*C46</f>
        <v>126005.10339528436</v>
      </c>
      <c r="I3" s="24">
        <f>'wynagrodzenia i koszty zatrudn '!I40*$E3*12*C46</f>
        <v>129155.23098016648</v>
      </c>
      <c r="J3" s="24">
        <f>'wynagrodzenia i koszty zatrudn '!J40*$E3*12*C46</f>
        <v>132384.11175467065</v>
      </c>
      <c r="K3" s="24">
        <f>'wynagrodzenia i koszty zatrudn '!K40*$E3*12*C46</f>
        <v>135693.71454853739</v>
      </c>
      <c r="L3" s="24">
        <f>'wynagrodzenia i koszty zatrudn '!L40*$E3*12*C46</f>
        <v>139086.05741225084</v>
      </c>
      <c r="M3" s="24">
        <f>'wynagrodzenia i koszty zatrudn '!M40*$E3*12*C46</f>
        <v>142563.20884755708</v>
      </c>
      <c r="N3" s="23">
        <f>'wynagrodzenia i koszty zatrudn '!N40*$E3*12*C46</f>
        <v>146127.28906874603</v>
      </c>
      <c r="O3" s="23">
        <f>'wynagrodzenia i koszty zatrudn '!O40*$E3*12*C46</f>
        <v>149780.47129546467</v>
      </c>
      <c r="P3" s="23">
        <f>'wynagrodzenia i koszty zatrudn '!P40*$E3*12*C46</f>
        <v>153524.9830778513</v>
      </c>
      <c r="Q3" s="23">
        <f>'wynagrodzenia i koszty zatrudn '!Q40*$E3*12*C46</f>
        <v>157363.10765479758</v>
      </c>
      <c r="R3" s="36"/>
    </row>
    <row r="4" spans="1:19" ht="17.25" customHeight="1" x14ac:dyDescent="0.25">
      <c r="A4" s="152"/>
      <c r="B4" s="17">
        <v>4040</v>
      </c>
      <c r="C4" s="1" t="s">
        <v>19</v>
      </c>
      <c r="D4" s="28">
        <v>8.5000000000000006E-2</v>
      </c>
      <c r="E4" s="20">
        <v>1</v>
      </c>
      <c r="F4" s="20">
        <f>$F$3</f>
        <v>12</v>
      </c>
      <c r="G4" s="19">
        <v>0</v>
      </c>
      <c r="H4" s="19">
        <f>0</f>
        <v>0</v>
      </c>
      <c r="I4" s="19">
        <f>H3*$D$4</f>
        <v>10710.433788599172</v>
      </c>
      <c r="J4" s="19">
        <f t="shared" ref="J4:Q4" si="0">I3*$D$4</f>
        <v>10978.194633314151</v>
      </c>
      <c r="K4" s="19">
        <f t="shared" si="0"/>
        <v>11252.649499147006</v>
      </c>
      <c r="L4" s="19">
        <f t="shared" si="0"/>
        <v>11533.96573662568</v>
      </c>
      <c r="M4" s="19">
        <f t="shared" si="0"/>
        <v>11822.314880041322</v>
      </c>
      <c r="N4" s="18">
        <f t="shared" si="0"/>
        <v>12117.872752042353</v>
      </c>
      <c r="O4" s="18">
        <f t="shared" si="0"/>
        <v>12420.819570843414</v>
      </c>
      <c r="P4" s="18">
        <f t="shared" si="0"/>
        <v>12731.340060114499</v>
      </c>
      <c r="Q4" s="18">
        <f t="shared" si="0"/>
        <v>13049.623561617362</v>
      </c>
      <c r="R4" s="36"/>
    </row>
    <row r="5" spans="1:19" ht="17.25" customHeight="1" x14ac:dyDescent="0.25">
      <c r="A5" s="152"/>
      <c r="B5" s="17">
        <v>4110</v>
      </c>
      <c r="C5" s="1" t="s">
        <v>18</v>
      </c>
      <c r="D5" s="28">
        <v>0.1706</v>
      </c>
      <c r="E5" s="20">
        <f t="shared" ref="E5:E20" si="1">E4</f>
        <v>1</v>
      </c>
      <c r="F5" s="20">
        <f>$F$3</f>
        <v>12</v>
      </c>
      <c r="G5" s="19">
        <f>$G$3*D5</f>
        <v>19380.222303120001</v>
      </c>
      <c r="H5" s="19">
        <f>(H4+H3)*$D$5</f>
        <v>21496.470639235511</v>
      </c>
      <c r="I5" s="19">
        <f>(I4+I3)*$D$5</f>
        <v>23861.082409551422</v>
      </c>
      <c r="J5" s="19">
        <f t="shared" ref="J5:N5" si="2">(J4+J3)*$D$5</f>
        <v>24457.609469790208</v>
      </c>
      <c r="K5" s="19">
        <f t="shared" si="2"/>
        <v>25069.049706534955</v>
      </c>
      <c r="L5" s="19">
        <f t="shared" si="2"/>
        <v>25695.775949198334</v>
      </c>
      <c r="M5" s="19">
        <f t="shared" si="2"/>
        <v>26338.170347928288</v>
      </c>
      <c r="N5" s="18">
        <f t="shared" si="2"/>
        <v>26996.624606626498</v>
      </c>
      <c r="O5" s="18">
        <f t="shared" ref="O5:P5" si="3">(O4+O3)*$D$5</f>
        <v>27671.540221792162</v>
      </c>
      <c r="P5" s="18">
        <f t="shared" si="3"/>
        <v>28363.328727336968</v>
      </c>
      <c r="Q5" s="18">
        <f t="shared" ref="Q5" si="4">(Q4+Q3)*$D$5</f>
        <v>29072.411945520391</v>
      </c>
      <c r="R5" s="36"/>
    </row>
    <row r="6" spans="1:19" ht="17.25" customHeight="1" x14ac:dyDescent="0.25">
      <c r="A6" s="152"/>
      <c r="B6" s="17">
        <v>4120</v>
      </c>
      <c r="C6" s="1" t="s">
        <v>17</v>
      </c>
      <c r="D6" s="28">
        <v>2.4500000000000001E-2</v>
      </c>
      <c r="E6" s="20">
        <f t="shared" si="1"/>
        <v>1</v>
      </c>
      <c r="F6" s="20">
        <f>$F$3</f>
        <v>12</v>
      </c>
      <c r="G6" s="19">
        <f>$G$3*D6</f>
        <v>2783.2089473999999</v>
      </c>
      <c r="H6" s="19">
        <f>(H3+H4)*$D$6</f>
        <v>3087.1250331844667</v>
      </c>
      <c r="I6" s="19">
        <f t="shared" ref="I6:N6" si="5">(I3+I4)*$D$6</f>
        <v>3426.7087868347585</v>
      </c>
      <c r="J6" s="19">
        <f t="shared" si="5"/>
        <v>3512.3765065056277</v>
      </c>
      <c r="K6" s="19">
        <f t="shared" si="5"/>
        <v>3600.1859191682674</v>
      </c>
      <c r="L6" s="19">
        <f t="shared" si="5"/>
        <v>3690.1905671474751</v>
      </c>
      <c r="M6" s="19">
        <f t="shared" si="5"/>
        <v>3782.4453313261611</v>
      </c>
      <c r="N6" s="18">
        <f t="shared" si="5"/>
        <v>3877.0064646093151</v>
      </c>
      <c r="O6" s="18">
        <f t="shared" ref="O6:P6" si="6">(O3+O4)*$D$6</f>
        <v>3973.9316262245484</v>
      </c>
      <c r="P6" s="18">
        <f t="shared" si="6"/>
        <v>4073.2799168801625</v>
      </c>
      <c r="Q6" s="18">
        <f t="shared" ref="Q6" si="7">(Q3+Q4)*$D$6</f>
        <v>4175.1119148021662</v>
      </c>
      <c r="R6" s="36"/>
    </row>
    <row r="7" spans="1:19" ht="17.25" customHeight="1" x14ac:dyDescent="0.25">
      <c r="A7" s="152"/>
      <c r="B7" s="17">
        <v>4710</v>
      </c>
      <c r="C7" s="1" t="s">
        <v>16</v>
      </c>
      <c r="D7" s="28">
        <v>0.02</v>
      </c>
      <c r="E7" s="20">
        <f t="shared" si="1"/>
        <v>1</v>
      </c>
      <c r="F7" s="20">
        <f>$F$3</f>
        <v>12</v>
      </c>
      <c r="G7" s="19">
        <f>$G$3*D7</f>
        <v>2272.0073040000002</v>
      </c>
      <c r="H7" s="19">
        <f>(H3+H4)*$D$7</f>
        <v>2520.1020679056874</v>
      </c>
      <c r="I7" s="19">
        <f t="shared" ref="I7:N7" si="8">(I3+I4)*$D$7</f>
        <v>2797.3132953753129</v>
      </c>
      <c r="J7" s="19">
        <f t="shared" si="8"/>
        <v>2867.2461277596963</v>
      </c>
      <c r="K7" s="19">
        <f t="shared" si="8"/>
        <v>2938.9272809536878</v>
      </c>
      <c r="L7" s="19">
        <f t="shared" si="8"/>
        <v>3012.4004629775304</v>
      </c>
      <c r="M7" s="19">
        <f t="shared" si="8"/>
        <v>3087.7104745519682</v>
      </c>
      <c r="N7" s="18">
        <f t="shared" si="8"/>
        <v>3164.9032364157674</v>
      </c>
      <c r="O7" s="18">
        <f t="shared" ref="O7:P7" si="9">(O3+O4)*$D$7</f>
        <v>3244.0258173261618</v>
      </c>
      <c r="P7" s="18">
        <f t="shared" si="9"/>
        <v>3325.1264627593164</v>
      </c>
      <c r="Q7" s="18">
        <f t="shared" ref="Q7" si="10">(Q3+Q4)*$D$7</f>
        <v>3408.2546243282991</v>
      </c>
      <c r="R7" s="36"/>
    </row>
    <row r="8" spans="1:19" ht="17.25" customHeight="1" thickBot="1" x14ac:dyDescent="0.3">
      <c r="A8" s="152"/>
      <c r="B8" s="17">
        <v>4440</v>
      </c>
      <c r="C8" s="27" t="s">
        <v>15</v>
      </c>
      <c r="D8" s="40">
        <v>2723.4</v>
      </c>
      <c r="E8" s="15">
        <f t="shared" si="1"/>
        <v>1</v>
      </c>
      <c r="F8" s="15">
        <f>$F$3</f>
        <v>12</v>
      </c>
      <c r="G8" s="40">
        <f>E8*D8*F8/12</f>
        <v>2723.4</v>
      </c>
      <c r="H8" s="14">
        <f>G8*E39/100*F39/100*G39/100*H39/100</f>
        <v>3020.7851707392001</v>
      </c>
      <c r="I8" s="14">
        <f t="shared" ref="I8:N8" si="11">H8*I39/100</f>
        <v>3096.3048000076801</v>
      </c>
      <c r="J8" s="14">
        <f t="shared" si="11"/>
        <v>3173.7124200078724</v>
      </c>
      <c r="K8" s="14">
        <f t="shared" si="11"/>
        <v>3253.0552305080696</v>
      </c>
      <c r="L8" s="14">
        <f t="shared" si="11"/>
        <v>3334.3816112707714</v>
      </c>
      <c r="M8" s="14">
        <f t="shared" si="11"/>
        <v>3417.7411515525409</v>
      </c>
      <c r="N8" s="14">
        <f t="shared" si="11"/>
        <v>3503.1846803413546</v>
      </c>
      <c r="O8" s="14">
        <f>N8*N39/100</f>
        <v>3590.7642973498882</v>
      </c>
      <c r="P8" s="14">
        <f>O8*P39/100</f>
        <v>3680.5334047836354</v>
      </c>
      <c r="Q8" s="14">
        <f>P8*Q39/100</f>
        <v>3772.5467399032264</v>
      </c>
      <c r="R8" s="36"/>
      <c r="S8" s="58"/>
    </row>
    <row r="9" spans="1:19" ht="17.25" customHeight="1" x14ac:dyDescent="0.25">
      <c r="A9" s="152" t="s">
        <v>32</v>
      </c>
      <c r="B9" s="17" t="s">
        <v>21</v>
      </c>
      <c r="C9" s="30" t="s">
        <v>20</v>
      </c>
      <c r="D9" s="25"/>
      <c r="E9" s="29">
        <v>1</v>
      </c>
      <c r="F9" s="29">
        <v>12</v>
      </c>
      <c r="G9" s="24">
        <f>'wynagrodzenia i koszty zatrudn '!D41*F9*E9</f>
        <v>113600.3652</v>
      </c>
      <c r="H9" s="24">
        <f>'wynagrodzenia i koszty zatrudn '!H41*$E9*12*C46</f>
        <v>126005.10339528436</v>
      </c>
      <c r="I9" s="24">
        <f>'wynagrodzenia i koszty zatrudn '!I41*$E9*12*C46</f>
        <v>129155.23098016648</v>
      </c>
      <c r="J9" s="24">
        <f>'wynagrodzenia i koszty zatrudn '!J41*$E9*12*C46</f>
        <v>132384.11175467065</v>
      </c>
      <c r="K9" s="24">
        <f>'wynagrodzenia i koszty zatrudn '!K41*$E9*12*C46</f>
        <v>135693.71454853739</v>
      </c>
      <c r="L9" s="24">
        <f>'wynagrodzenia i koszty zatrudn '!L41*$E9*12*C46</f>
        <v>139086.05741225084</v>
      </c>
      <c r="M9" s="24">
        <f>'wynagrodzenia i koszty zatrudn '!M41*$E9*12*C46</f>
        <v>142563.20884755708</v>
      </c>
      <c r="N9" s="24">
        <f>'wynagrodzenia i koszty zatrudn '!N41*$E9*12*C46</f>
        <v>146127.28906874603</v>
      </c>
      <c r="O9" s="24">
        <f>'wynagrodzenia i koszty zatrudn '!O41*$E9*12*C46</f>
        <v>149780.47129546467</v>
      </c>
      <c r="P9" s="24">
        <f>'wynagrodzenia i koszty zatrudn '!P41*$E9*12*C46</f>
        <v>153524.9830778513</v>
      </c>
      <c r="Q9" s="24">
        <f>'wynagrodzenia i koszty zatrudn '!Q41*$E9*12*C46</f>
        <v>157363.10765479758</v>
      </c>
      <c r="R9" s="58"/>
    </row>
    <row r="10" spans="1:19" ht="17.25" customHeight="1" x14ac:dyDescent="0.25">
      <c r="A10" s="152"/>
      <c r="B10" s="17">
        <v>4040</v>
      </c>
      <c r="C10" s="1" t="s">
        <v>19</v>
      </c>
      <c r="D10" s="28">
        <v>8.5000000000000006E-2</v>
      </c>
      <c r="E10" s="20">
        <v>1</v>
      </c>
      <c r="F10" s="20">
        <f>$F$3</f>
        <v>12</v>
      </c>
      <c r="G10" s="19">
        <v>0</v>
      </c>
      <c r="H10" s="19">
        <f>0</f>
        <v>0</v>
      </c>
      <c r="I10" s="19">
        <f>H9*D10</f>
        <v>10710.433788599172</v>
      </c>
      <c r="J10" s="19">
        <f t="shared" ref="J10" si="12">I9*$D$4</f>
        <v>10978.194633314151</v>
      </c>
      <c r="K10" s="19">
        <f t="shared" ref="K10" si="13">J9*$D$4</f>
        <v>11252.649499147006</v>
      </c>
      <c r="L10" s="19">
        <f t="shared" ref="L10" si="14">K9*$D$4</f>
        <v>11533.96573662568</v>
      </c>
      <c r="M10" s="19">
        <f t="shared" ref="M10" si="15">L9*$D$4</f>
        <v>11822.314880041322</v>
      </c>
      <c r="N10" s="18">
        <f t="shared" ref="N10" si="16">M9*$D$4</f>
        <v>12117.872752042353</v>
      </c>
      <c r="O10" s="18">
        <f t="shared" ref="O10" si="17">N9*$D$4</f>
        <v>12420.819570843414</v>
      </c>
      <c r="P10" s="18">
        <f t="shared" ref="P10" si="18">O9*$D$4</f>
        <v>12731.340060114499</v>
      </c>
      <c r="Q10" s="18">
        <f t="shared" ref="Q10" si="19">P9*$D$4</f>
        <v>13049.623561617362</v>
      </c>
    </row>
    <row r="11" spans="1:19" ht="17.25" customHeight="1" x14ac:dyDescent="0.25">
      <c r="A11" s="152"/>
      <c r="B11" s="17">
        <v>4110</v>
      </c>
      <c r="C11" s="1" t="s">
        <v>18</v>
      </c>
      <c r="D11" s="28">
        <v>0.1706</v>
      </c>
      <c r="E11" s="20">
        <f t="shared" si="1"/>
        <v>1</v>
      </c>
      <c r="F11" s="20">
        <f>$F$3</f>
        <v>12</v>
      </c>
      <c r="G11" s="19">
        <f>G9*D11</f>
        <v>19380.222303120001</v>
      </c>
      <c r="H11" s="19">
        <f>(H10+H9)*D11</f>
        <v>21496.470639235511</v>
      </c>
      <c r="I11" s="19">
        <f>(I10+I9)*D11</f>
        <v>23861.082409551422</v>
      </c>
      <c r="J11" s="19">
        <f>(J10+J9)*$D$5</f>
        <v>24457.609469790208</v>
      </c>
      <c r="K11" s="19">
        <f t="shared" ref="K11:Q11" si="20">(K10+K9)*$D$5</f>
        <v>25069.049706534955</v>
      </c>
      <c r="L11" s="19">
        <f t="shared" si="20"/>
        <v>25695.775949198334</v>
      </c>
      <c r="M11" s="19">
        <f t="shared" si="20"/>
        <v>26338.170347928288</v>
      </c>
      <c r="N11" s="18">
        <f t="shared" si="20"/>
        <v>26996.624606626498</v>
      </c>
      <c r="O11" s="18">
        <f t="shared" si="20"/>
        <v>27671.540221792162</v>
      </c>
      <c r="P11" s="18">
        <f t="shared" si="20"/>
        <v>28363.328727336968</v>
      </c>
      <c r="Q11" s="18">
        <f t="shared" si="20"/>
        <v>29072.411945520391</v>
      </c>
    </row>
    <row r="12" spans="1:19" ht="17.25" customHeight="1" x14ac:dyDescent="0.25">
      <c r="A12" s="152"/>
      <c r="B12" s="17">
        <v>4120</v>
      </c>
      <c r="C12" s="1" t="s">
        <v>17</v>
      </c>
      <c r="D12" s="28">
        <v>2.4500000000000001E-2</v>
      </c>
      <c r="E12" s="20">
        <f t="shared" si="1"/>
        <v>1</v>
      </c>
      <c r="F12" s="20">
        <f>$F$3</f>
        <v>12</v>
      </c>
      <c r="G12" s="19">
        <f>G9*D12</f>
        <v>2783.2089473999999</v>
      </c>
      <c r="H12" s="19">
        <f>(H9+H10)*D12</f>
        <v>3087.1250331844667</v>
      </c>
      <c r="I12" s="19">
        <f>(I9+I10)*D12</f>
        <v>3426.7087868347585</v>
      </c>
      <c r="J12" s="19">
        <f>(J9+J10)*D12</f>
        <v>3512.3765065056277</v>
      </c>
      <c r="K12" s="19">
        <f>(K9+K10)*D12</f>
        <v>3600.1859191682674</v>
      </c>
      <c r="L12" s="19">
        <f>(L9+L10)*D12</f>
        <v>3690.1905671474751</v>
      </c>
      <c r="M12" s="19">
        <f t="shared" ref="M12:Q12" si="21">(M9+M10)*$D$6</f>
        <v>3782.4453313261611</v>
      </c>
      <c r="N12" s="18">
        <f t="shared" si="21"/>
        <v>3877.0064646093151</v>
      </c>
      <c r="O12" s="18">
        <f t="shared" si="21"/>
        <v>3973.9316262245484</v>
      </c>
      <c r="P12" s="18">
        <f t="shared" si="21"/>
        <v>4073.2799168801625</v>
      </c>
      <c r="Q12" s="18">
        <f t="shared" si="21"/>
        <v>4175.1119148021662</v>
      </c>
    </row>
    <row r="13" spans="1:19" ht="17.25" customHeight="1" x14ac:dyDescent="0.25">
      <c r="A13" s="152"/>
      <c r="B13" s="17">
        <v>4710</v>
      </c>
      <c r="C13" s="1" t="s">
        <v>16</v>
      </c>
      <c r="D13" s="28">
        <v>0.02</v>
      </c>
      <c r="E13" s="20">
        <f t="shared" si="1"/>
        <v>1</v>
      </c>
      <c r="F13" s="20">
        <f>$F$3</f>
        <v>12</v>
      </c>
      <c r="G13" s="19">
        <f>G9*D13</f>
        <v>2272.0073040000002</v>
      </c>
      <c r="H13" s="19">
        <f>(H9+H10)*D13</f>
        <v>2520.1020679056874</v>
      </c>
      <c r="I13" s="19">
        <f>(I9+I10)*D13</f>
        <v>2797.3132953753129</v>
      </c>
      <c r="J13" s="19">
        <f t="shared" ref="J13:Q13" si="22">(J9+J10)*$D$7</f>
        <v>2867.2461277596963</v>
      </c>
      <c r="K13" s="19">
        <f t="shared" si="22"/>
        <v>2938.9272809536878</v>
      </c>
      <c r="L13" s="19">
        <f t="shared" si="22"/>
        <v>3012.4004629775304</v>
      </c>
      <c r="M13" s="19">
        <f t="shared" si="22"/>
        <v>3087.7104745519682</v>
      </c>
      <c r="N13" s="18">
        <f t="shared" si="22"/>
        <v>3164.9032364157674</v>
      </c>
      <c r="O13" s="18">
        <f t="shared" si="22"/>
        <v>3244.0258173261618</v>
      </c>
      <c r="P13" s="18">
        <f t="shared" si="22"/>
        <v>3325.1264627593164</v>
      </c>
      <c r="Q13" s="18">
        <f t="shared" si="22"/>
        <v>3408.2546243282991</v>
      </c>
    </row>
    <row r="14" spans="1:19" ht="17.25" customHeight="1" thickBot="1" x14ac:dyDescent="0.3">
      <c r="A14" s="152"/>
      <c r="B14" s="17">
        <v>4440</v>
      </c>
      <c r="C14" s="27" t="s">
        <v>15</v>
      </c>
      <c r="D14" s="40">
        <v>2723.4</v>
      </c>
      <c r="E14" s="15">
        <f t="shared" si="1"/>
        <v>1</v>
      </c>
      <c r="F14" s="15">
        <f>$F$3</f>
        <v>12</v>
      </c>
      <c r="G14" s="40">
        <f>E14*D14*F14/12</f>
        <v>2723.4</v>
      </c>
      <c r="H14" s="14">
        <f>G14*E39/100*F39/100*G39/100*H39/100</f>
        <v>3020.7851707392001</v>
      </c>
      <c r="I14" s="14">
        <f t="shared" ref="I14:Q14" si="23">H14*I39/100</f>
        <v>3096.3048000076801</v>
      </c>
      <c r="J14" s="14">
        <f t="shared" si="23"/>
        <v>3173.7124200078724</v>
      </c>
      <c r="K14" s="14">
        <f t="shared" si="23"/>
        <v>3253.0552305080696</v>
      </c>
      <c r="L14" s="14">
        <f t="shared" si="23"/>
        <v>3334.3816112707714</v>
      </c>
      <c r="M14" s="14">
        <f t="shared" si="23"/>
        <v>3417.7411515525409</v>
      </c>
      <c r="N14" s="14">
        <f t="shared" si="23"/>
        <v>3503.1846803413546</v>
      </c>
      <c r="O14" s="14">
        <f t="shared" si="23"/>
        <v>3590.7642973498882</v>
      </c>
      <c r="P14" s="14">
        <f t="shared" si="23"/>
        <v>3680.5334047836354</v>
      </c>
      <c r="Q14" s="14">
        <f t="shared" si="23"/>
        <v>3772.5467399032264</v>
      </c>
    </row>
    <row r="15" spans="1:19" ht="17.25" customHeight="1" x14ac:dyDescent="0.25">
      <c r="A15" s="152" t="s">
        <v>31</v>
      </c>
      <c r="B15" s="17" t="s">
        <v>21</v>
      </c>
      <c r="C15" s="30" t="s">
        <v>20</v>
      </c>
      <c r="D15" s="25"/>
      <c r="E15" s="29">
        <v>1</v>
      </c>
      <c r="F15" s="29">
        <v>12</v>
      </c>
      <c r="G15" s="24">
        <f>'wynagrodzenia i koszty zatrudn '!D42*F15*E15</f>
        <v>113600.3652</v>
      </c>
      <c r="H15" s="24">
        <f>'wynagrodzenia i koszty zatrudn '!H42*$E15*12*C46</f>
        <v>126005.10339528436</v>
      </c>
      <c r="I15" s="24">
        <f>'wynagrodzenia i koszty zatrudn '!I42*$E15*12*C46</f>
        <v>129155.23098016648</v>
      </c>
      <c r="J15" s="24">
        <f>'wynagrodzenia i koszty zatrudn '!J42*$E15*12*C46</f>
        <v>132384.11175467065</v>
      </c>
      <c r="K15" s="24">
        <f>'wynagrodzenia i koszty zatrudn '!K42*$E15*12*C46</f>
        <v>135693.71454853739</v>
      </c>
      <c r="L15" s="24">
        <f>'wynagrodzenia i koszty zatrudn '!L42*$E15*12*C46</f>
        <v>139086.05741225084</v>
      </c>
      <c r="M15" s="24">
        <f>'wynagrodzenia i koszty zatrudn '!M42*$E15*12*C46</f>
        <v>142563.20884755708</v>
      </c>
      <c r="N15" s="24">
        <f>'wynagrodzenia i koszty zatrudn '!N42*$E15*12*C46</f>
        <v>146127.28906874603</v>
      </c>
      <c r="O15" s="24">
        <f>'wynagrodzenia i koszty zatrudn '!O42*$E15*12*C46</f>
        <v>149780.47129546467</v>
      </c>
      <c r="P15" s="24">
        <f>'wynagrodzenia i koszty zatrudn '!P42*$E15*12*C46</f>
        <v>153524.9830778513</v>
      </c>
      <c r="Q15" s="24">
        <f>'wynagrodzenia i koszty zatrudn '!Q42*$E15*12*C46</f>
        <v>157363.10765479758</v>
      </c>
      <c r="R15" s="58"/>
    </row>
    <row r="16" spans="1:19" ht="17.25" customHeight="1" x14ac:dyDescent="0.25">
      <c r="A16" s="152"/>
      <c r="B16" s="17">
        <v>4040</v>
      </c>
      <c r="C16" s="1" t="s">
        <v>19</v>
      </c>
      <c r="D16" s="28">
        <v>8.5000000000000006E-2</v>
      </c>
      <c r="E16" s="20">
        <v>1</v>
      </c>
      <c r="F16" s="20">
        <f>$F$3</f>
        <v>12</v>
      </c>
      <c r="G16" s="19">
        <v>0</v>
      </c>
      <c r="H16" s="19">
        <f>0</f>
        <v>0</v>
      </c>
      <c r="I16" s="19">
        <f>H15*$D$4</f>
        <v>10710.433788599172</v>
      </c>
      <c r="J16" s="19">
        <f t="shared" ref="J16" si="24">I15*$D$4</f>
        <v>10978.194633314151</v>
      </c>
      <c r="K16" s="19">
        <f t="shared" ref="K16" si="25">J15*$D$4</f>
        <v>11252.649499147006</v>
      </c>
      <c r="L16" s="19">
        <f t="shared" ref="L16" si="26">K15*$D$4</f>
        <v>11533.96573662568</v>
      </c>
      <c r="M16" s="19">
        <f t="shared" ref="M16" si="27">L15*$D$4</f>
        <v>11822.314880041322</v>
      </c>
      <c r="N16" s="18">
        <f t="shared" ref="N16" si="28">M15*$D$4</f>
        <v>12117.872752042353</v>
      </c>
      <c r="O16" s="18">
        <f t="shared" ref="O16" si="29">N15*$D$4</f>
        <v>12420.819570843414</v>
      </c>
      <c r="P16" s="18">
        <f t="shared" ref="P16" si="30">O15*$D$4</f>
        <v>12731.340060114499</v>
      </c>
      <c r="Q16" s="18">
        <f t="shared" ref="Q16" si="31">P15*$D$4</f>
        <v>13049.623561617362</v>
      </c>
    </row>
    <row r="17" spans="1:17" ht="17.25" customHeight="1" x14ac:dyDescent="0.25">
      <c r="A17" s="152"/>
      <c r="B17" s="17">
        <v>4110</v>
      </c>
      <c r="C17" s="1" t="s">
        <v>18</v>
      </c>
      <c r="D17" s="28">
        <v>0.1706</v>
      </c>
      <c r="E17" s="20">
        <f t="shared" si="1"/>
        <v>1</v>
      </c>
      <c r="F17" s="20">
        <f>$F$3</f>
        <v>12</v>
      </c>
      <c r="G17" s="19">
        <f>G15*D17</f>
        <v>19380.222303120001</v>
      </c>
      <c r="H17" s="19">
        <f>(H16+H15)*$D$5</f>
        <v>21496.470639235511</v>
      </c>
      <c r="I17" s="19">
        <f>(I16+I15)*$D$5</f>
        <v>23861.082409551422</v>
      </c>
      <c r="J17" s="19">
        <f t="shared" ref="J17:Q17" si="32">(J16+J15)*$D$5</f>
        <v>24457.609469790208</v>
      </c>
      <c r="K17" s="19">
        <f t="shared" si="32"/>
        <v>25069.049706534955</v>
      </c>
      <c r="L17" s="19">
        <f t="shared" si="32"/>
        <v>25695.775949198334</v>
      </c>
      <c r="M17" s="19">
        <f t="shared" si="32"/>
        <v>26338.170347928288</v>
      </c>
      <c r="N17" s="18">
        <f t="shared" si="32"/>
        <v>26996.624606626498</v>
      </c>
      <c r="O17" s="18">
        <f t="shared" si="32"/>
        <v>27671.540221792162</v>
      </c>
      <c r="P17" s="18">
        <f t="shared" si="32"/>
        <v>28363.328727336968</v>
      </c>
      <c r="Q17" s="18">
        <f t="shared" si="32"/>
        <v>29072.411945520391</v>
      </c>
    </row>
    <row r="18" spans="1:17" ht="17.25" customHeight="1" x14ac:dyDescent="0.25">
      <c r="A18" s="152"/>
      <c r="B18" s="17">
        <v>4120</v>
      </c>
      <c r="C18" s="1" t="s">
        <v>17</v>
      </c>
      <c r="D18" s="28">
        <v>2.4500000000000001E-2</v>
      </c>
      <c r="E18" s="20">
        <f t="shared" si="1"/>
        <v>1</v>
      </c>
      <c r="F18" s="20">
        <f>$F$3</f>
        <v>12</v>
      </c>
      <c r="G18" s="19">
        <f>G15*D18</f>
        <v>2783.2089473999999</v>
      </c>
      <c r="H18" s="19">
        <f t="shared" ref="H18:Q18" si="33">(H15+H16)*$D$6</f>
        <v>3087.1250331844667</v>
      </c>
      <c r="I18" s="19">
        <f t="shared" si="33"/>
        <v>3426.7087868347585</v>
      </c>
      <c r="J18" s="19">
        <f>(J15+J16)*$D$6</f>
        <v>3512.3765065056277</v>
      </c>
      <c r="K18" s="19">
        <f t="shared" si="33"/>
        <v>3600.1859191682674</v>
      </c>
      <c r="L18" s="19">
        <f t="shared" si="33"/>
        <v>3690.1905671474751</v>
      </c>
      <c r="M18" s="19">
        <f t="shared" si="33"/>
        <v>3782.4453313261611</v>
      </c>
      <c r="N18" s="18">
        <f t="shared" si="33"/>
        <v>3877.0064646093151</v>
      </c>
      <c r="O18" s="18">
        <f t="shared" si="33"/>
        <v>3973.9316262245484</v>
      </c>
      <c r="P18" s="18">
        <f t="shared" si="33"/>
        <v>4073.2799168801625</v>
      </c>
      <c r="Q18" s="18">
        <f t="shared" si="33"/>
        <v>4175.1119148021662</v>
      </c>
    </row>
    <row r="19" spans="1:17" ht="17.25" customHeight="1" x14ac:dyDescent="0.25">
      <c r="A19" s="152"/>
      <c r="B19" s="17">
        <v>4710</v>
      </c>
      <c r="C19" s="1" t="s">
        <v>16</v>
      </c>
      <c r="D19" s="28">
        <v>0.02</v>
      </c>
      <c r="E19" s="20">
        <f t="shared" si="1"/>
        <v>1</v>
      </c>
      <c r="F19" s="20">
        <f>$F$3</f>
        <v>12</v>
      </c>
      <c r="G19" s="19">
        <f>G15*D19</f>
        <v>2272.0073040000002</v>
      </c>
      <c r="H19" s="19">
        <f t="shared" ref="H19:Q19" si="34">(H15+H16)*$D$7</f>
        <v>2520.1020679056874</v>
      </c>
      <c r="I19" s="19">
        <f>(I15+I16)*$D$7</f>
        <v>2797.3132953753129</v>
      </c>
      <c r="J19" s="19">
        <f t="shared" si="34"/>
        <v>2867.2461277596963</v>
      </c>
      <c r="K19" s="19">
        <f t="shared" si="34"/>
        <v>2938.9272809536878</v>
      </c>
      <c r="L19" s="19">
        <f t="shared" si="34"/>
        <v>3012.4004629775304</v>
      </c>
      <c r="M19" s="19">
        <f t="shared" si="34"/>
        <v>3087.7104745519682</v>
      </c>
      <c r="N19" s="18">
        <f t="shared" si="34"/>
        <v>3164.9032364157674</v>
      </c>
      <c r="O19" s="18">
        <f t="shared" si="34"/>
        <v>3244.0258173261618</v>
      </c>
      <c r="P19" s="18">
        <f t="shared" si="34"/>
        <v>3325.1264627593164</v>
      </c>
      <c r="Q19" s="18">
        <f t="shared" si="34"/>
        <v>3408.2546243282991</v>
      </c>
    </row>
    <row r="20" spans="1:17" ht="17.25" customHeight="1" thickBot="1" x14ac:dyDescent="0.3">
      <c r="A20" s="152"/>
      <c r="B20" s="17">
        <v>4440</v>
      </c>
      <c r="C20" s="27" t="s">
        <v>15</v>
      </c>
      <c r="D20" s="40">
        <v>2723.4</v>
      </c>
      <c r="E20" s="15">
        <f t="shared" si="1"/>
        <v>1</v>
      </c>
      <c r="F20" s="15">
        <f>$F$3</f>
        <v>12</v>
      </c>
      <c r="G20" s="40">
        <f>E20*D20*F20/12</f>
        <v>2723.4</v>
      </c>
      <c r="H20" s="14">
        <f>G20*E39/100*F39/100*G39/100*H39/100</f>
        <v>3020.7851707392001</v>
      </c>
      <c r="I20" s="14">
        <f t="shared" ref="I20:Q20" si="35">H20*I39/100</f>
        <v>3096.3048000076801</v>
      </c>
      <c r="J20" s="14">
        <f t="shared" si="35"/>
        <v>3173.7124200078724</v>
      </c>
      <c r="K20" s="14">
        <f t="shared" si="35"/>
        <v>3253.0552305080696</v>
      </c>
      <c r="L20" s="14">
        <f t="shared" si="35"/>
        <v>3334.3816112707714</v>
      </c>
      <c r="M20" s="14">
        <f t="shared" si="35"/>
        <v>3417.7411515525409</v>
      </c>
      <c r="N20" s="14">
        <f t="shared" si="35"/>
        <v>3503.1846803413546</v>
      </c>
      <c r="O20" s="14">
        <f t="shared" si="35"/>
        <v>3590.7642973498882</v>
      </c>
      <c r="P20" s="14">
        <f t="shared" si="35"/>
        <v>3680.5334047836354</v>
      </c>
      <c r="Q20" s="14">
        <f t="shared" si="35"/>
        <v>3772.5467399032264</v>
      </c>
    </row>
    <row r="21" spans="1:17" ht="17.25" customHeight="1" thickBot="1" x14ac:dyDescent="0.3">
      <c r="B21" s="17"/>
      <c r="C21" s="41"/>
      <c r="D21" s="42"/>
      <c r="E21" s="43"/>
      <c r="F21" s="44"/>
      <c r="G21" s="42"/>
      <c r="H21" s="45"/>
      <c r="I21" s="45"/>
      <c r="J21" s="45"/>
      <c r="K21" s="45"/>
      <c r="L21" s="45"/>
      <c r="M21" s="45"/>
      <c r="N21" s="46"/>
      <c r="O21" s="46"/>
      <c r="P21" s="46"/>
      <c r="Q21" s="46"/>
    </row>
    <row r="22" spans="1:17" ht="39" thickBot="1" x14ac:dyDescent="0.3">
      <c r="B22" s="17">
        <v>4000</v>
      </c>
      <c r="C22" s="26" t="s">
        <v>14</v>
      </c>
      <c r="D22" s="47">
        <v>5650</v>
      </c>
      <c r="E22" s="25">
        <f>E3+E15</f>
        <v>2</v>
      </c>
      <c r="F22" s="20" t="s">
        <v>9</v>
      </c>
      <c r="G22" s="24">
        <f>D22*E22</f>
        <v>11300</v>
      </c>
      <c r="H22" s="24">
        <f>G22*E39/100*F39/100*G39/100*H39/100</f>
        <v>12533.918054400001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3">
        <v>0</v>
      </c>
      <c r="O22" s="23">
        <v>0</v>
      </c>
      <c r="P22" s="23">
        <v>0</v>
      </c>
      <c r="Q22" s="23">
        <v>0</v>
      </c>
    </row>
    <row r="23" spans="1:17" ht="39" thickBot="1" x14ac:dyDescent="0.3">
      <c r="B23" s="17">
        <v>4000</v>
      </c>
      <c r="C23" s="21" t="s">
        <v>13</v>
      </c>
      <c r="D23" s="48">
        <v>8000</v>
      </c>
      <c r="E23" s="20">
        <f>E22</f>
        <v>2</v>
      </c>
      <c r="F23" s="20" t="s">
        <v>9</v>
      </c>
      <c r="G23" s="19">
        <f>E23*D23</f>
        <v>16000</v>
      </c>
      <c r="H23" s="24">
        <f>G23*E39/100*F39/100*G39/100*H39/100</f>
        <v>17747.140608000002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8">
        <v>0</v>
      </c>
      <c r="O23" s="18">
        <v>0</v>
      </c>
      <c r="P23" s="18">
        <v>0</v>
      </c>
      <c r="Q23" s="18">
        <v>0</v>
      </c>
    </row>
    <row r="24" spans="1:17" ht="15.75" thickBot="1" x14ac:dyDescent="0.3">
      <c r="B24" s="17">
        <v>4000</v>
      </c>
      <c r="C24" s="21" t="s">
        <v>12</v>
      </c>
      <c r="D24" s="48">
        <v>2100</v>
      </c>
      <c r="E24" s="20">
        <f>3</f>
        <v>3</v>
      </c>
      <c r="F24" s="20" t="s">
        <v>2</v>
      </c>
      <c r="G24" s="19">
        <f>E24*D24</f>
        <v>6300</v>
      </c>
      <c r="H24" s="24">
        <f>G24*E39/100*F39/100*G39/100*H39/100</f>
        <v>6987.9366143999996</v>
      </c>
      <c r="I24" s="19">
        <f>H24*'wynagrodzenia i koszty zatrudn '!I$39/100</f>
        <v>7162.6350297599993</v>
      </c>
      <c r="J24" s="19">
        <f>I24*'wynagrodzenia i koszty zatrudn '!J$39/100</f>
        <v>7341.7009055039998</v>
      </c>
      <c r="K24" s="19">
        <f>J24*'wynagrodzenia i koszty zatrudn '!K$39/100</f>
        <v>7525.243428141599</v>
      </c>
      <c r="L24" s="19">
        <f>K24*'wynagrodzenia i koszty zatrudn '!L$39/100</f>
        <v>7713.3745138451386</v>
      </c>
      <c r="M24" s="19">
        <f>L24*'wynagrodzenia i koszty zatrudn '!M$39/100</f>
        <v>7906.2088766912675</v>
      </c>
      <c r="N24" s="18">
        <f>M24*'wynagrodzenia i koszty zatrudn '!N$39/100</f>
        <v>8103.8640986085493</v>
      </c>
      <c r="O24" s="18">
        <f>N24*'wynagrodzenia i koszty zatrudn '!O$39/100</f>
        <v>8306.4607010737636</v>
      </c>
      <c r="P24" s="18">
        <f>O24*'wynagrodzenia i koszty zatrudn '!P$39/100</f>
        <v>8514.1222186006089</v>
      </c>
      <c r="Q24" s="18">
        <f>P24*'wynagrodzenia i koszty zatrudn '!Q$39/100</f>
        <v>8726.975274065624</v>
      </c>
    </row>
    <row r="25" spans="1:17" ht="51.75" thickBot="1" x14ac:dyDescent="0.3">
      <c r="B25" s="22">
        <v>4000</v>
      </c>
      <c r="C25" s="21" t="s">
        <v>11</v>
      </c>
      <c r="D25" s="48">
        <v>2225</v>
      </c>
      <c r="E25" s="20">
        <f>3</f>
        <v>3</v>
      </c>
      <c r="F25" s="20">
        <f>$F$3</f>
        <v>12</v>
      </c>
      <c r="G25" s="19">
        <f>E25*D25*F25</f>
        <v>80100</v>
      </c>
      <c r="H25" s="24">
        <f>G25*E39/100*F39/100*G39/100*H39/100</f>
        <v>88846.622668800002</v>
      </c>
      <c r="I25" s="19">
        <f>H25*'wynagrodzenia i koszty zatrudn '!I$39/100</f>
        <v>91067.788235519998</v>
      </c>
      <c r="J25" s="19">
        <f>I25*'wynagrodzenia i koszty zatrudn '!J$39/100</f>
        <v>93344.482941407987</v>
      </c>
      <c r="K25" s="19">
        <f>J25*'wynagrodzenia i koszty zatrudn '!K$39/100</f>
        <v>95678.095014943188</v>
      </c>
      <c r="L25" s="19">
        <f>K25*'wynagrodzenia i koszty zatrudn '!L$39/100</f>
        <v>98070.047390316759</v>
      </c>
      <c r="M25" s="19">
        <f>L25*'wynagrodzenia i koszty zatrudn '!M$39/100</f>
        <v>100521.79857507467</v>
      </c>
      <c r="N25" s="18">
        <f>M25*'wynagrodzenia i koszty zatrudn '!N$39/100</f>
        <v>103034.84353945154</v>
      </c>
      <c r="O25" s="18">
        <f>N25*'wynagrodzenia i koszty zatrudn '!O$39/100</f>
        <v>105610.71462793782</v>
      </c>
      <c r="P25" s="18">
        <f>O25*'wynagrodzenia i koszty zatrudn '!P$39/100</f>
        <v>108250.98249363627</v>
      </c>
      <c r="Q25" s="18">
        <f>P25*'wynagrodzenia i koszty zatrudn '!Q$39/100</f>
        <v>110957.25705597717</v>
      </c>
    </row>
    <row r="26" spans="1:17" ht="18" customHeight="1" thickBot="1" x14ac:dyDescent="0.3">
      <c r="B26" s="17">
        <v>4000</v>
      </c>
      <c r="C26" s="21" t="s">
        <v>10</v>
      </c>
      <c r="D26" s="48">
        <v>807</v>
      </c>
      <c r="E26" s="20">
        <f>2</f>
        <v>2</v>
      </c>
      <c r="F26" s="20" t="s">
        <v>9</v>
      </c>
      <c r="G26" s="19">
        <f>E26*D26</f>
        <v>1614</v>
      </c>
      <c r="H26" s="24">
        <f>G26*E39/100*F39/100*G39/100*H39/100</f>
        <v>1790.242808832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8">
        <v>0</v>
      </c>
      <c r="O26" s="18">
        <v>0</v>
      </c>
      <c r="P26" s="18">
        <v>0</v>
      </c>
      <c r="Q26" s="18">
        <v>0</v>
      </c>
    </row>
    <row r="27" spans="1:17" ht="18" customHeight="1" x14ac:dyDescent="0.25">
      <c r="B27" s="17">
        <v>4520</v>
      </c>
      <c r="C27" s="1" t="s">
        <v>8</v>
      </c>
      <c r="D27" s="48">
        <v>18.34</v>
      </c>
      <c r="E27" s="20">
        <f>E25</f>
        <v>3</v>
      </c>
      <c r="F27" s="20">
        <f>$F$3</f>
        <v>12</v>
      </c>
      <c r="G27" s="19">
        <f>E27*D27*F27</f>
        <v>660.24</v>
      </c>
      <c r="H27" s="24">
        <f>G27*E39/100*F39/100*G39/100*H39/100</f>
        <v>732.33575718912005</v>
      </c>
      <c r="I27" s="19">
        <f>H27*'wynagrodzenia i koszty zatrudn '!I$39/100</f>
        <v>750.64415111884807</v>
      </c>
      <c r="J27" s="19">
        <f>I27*'wynagrodzenia i koszty zatrudn '!J$39/100</f>
        <v>769.4102548968192</v>
      </c>
      <c r="K27" s="19">
        <f>J27*'wynagrodzenia i koszty zatrudn '!K$39/100</f>
        <v>788.64551126923971</v>
      </c>
      <c r="L27" s="19">
        <f>K27*'wynagrodzenia i koszty zatrudn '!L$39/100</f>
        <v>808.36164905097075</v>
      </c>
      <c r="M27" s="19">
        <f>L27*'wynagrodzenia i koszty zatrudn '!M$39/100</f>
        <v>828.57069027724503</v>
      </c>
      <c r="N27" s="18">
        <f>M27*'wynagrodzenia i koszty zatrudn '!N$39/100</f>
        <v>849.28495753417621</v>
      </c>
      <c r="O27" s="18">
        <f>N27*'wynagrodzenia i koszty zatrudn '!O$39/100</f>
        <v>870.51708147253055</v>
      </c>
      <c r="P27" s="18">
        <f>O27*'wynagrodzenia i koszty zatrudn '!P$39/100</f>
        <v>892.2800085093437</v>
      </c>
      <c r="Q27" s="18">
        <f>P27*'wynagrodzenia i koszty zatrudn '!Q$39/100</f>
        <v>914.58700872207726</v>
      </c>
    </row>
    <row r="28" spans="1:17" ht="18" customHeight="1" x14ac:dyDescent="0.25">
      <c r="B28" s="17">
        <v>4480</v>
      </c>
      <c r="C28" s="1" t="s">
        <v>7</v>
      </c>
      <c r="D28" s="48">
        <v>0</v>
      </c>
      <c r="E28" s="20">
        <f>E27</f>
        <v>3</v>
      </c>
      <c r="F28" s="20">
        <f>$F$3</f>
        <v>12</v>
      </c>
      <c r="G28" s="19">
        <f>E28*D28*F28</f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8">
        <v>0</v>
      </c>
      <c r="O28" s="18">
        <v>0</v>
      </c>
      <c r="P28" s="18">
        <v>0</v>
      </c>
      <c r="Q28" s="18">
        <v>0</v>
      </c>
    </row>
    <row r="29" spans="1:17" ht="18" customHeight="1" x14ac:dyDescent="0.25">
      <c r="B29" s="17">
        <v>4270</v>
      </c>
      <c r="C29" s="1" t="s">
        <v>6</v>
      </c>
      <c r="D29" s="48">
        <v>0</v>
      </c>
      <c r="E29" s="20">
        <f>E28</f>
        <v>3</v>
      </c>
      <c r="F29" s="20">
        <f>$F$3</f>
        <v>12</v>
      </c>
      <c r="G29" s="19">
        <f>E29*D29*F29</f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8">
        <v>0</v>
      </c>
      <c r="O29" s="18">
        <v>0</v>
      </c>
      <c r="P29" s="18">
        <v>0</v>
      </c>
      <c r="Q29" s="18">
        <v>0</v>
      </c>
    </row>
    <row r="30" spans="1:17" ht="18" customHeight="1" x14ac:dyDescent="0.25">
      <c r="B30" s="17">
        <v>4410</v>
      </c>
      <c r="C30" s="1" t="s">
        <v>5</v>
      </c>
      <c r="D30" s="48">
        <v>45</v>
      </c>
      <c r="E30" s="20">
        <v>1</v>
      </c>
      <c r="F30" s="20">
        <f>$F$3</f>
        <v>12</v>
      </c>
      <c r="G30" s="19">
        <f>E30*D30*F30</f>
        <v>540</v>
      </c>
      <c r="H30" s="19">
        <f>G30*E39/100*F39/100*G39/100*H39/100</f>
        <v>598.96599551999998</v>
      </c>
      <c r="I30" s="19">
        <f>H30*'wynagrodzenia i koszty zatrudn '!I$39/100</f>
        <v>613.94014540799992</v>
      </c>
      <c r="J30" s="19">
        <f>I30*'wynagrodzenia i koszty zatrudn '!J$39/100</f>
        <v>629.28864904319994</v>
      </c>
      <c r="K30" s="19">
        <f>J30*'wynagrodzenia i koszty zatrudn '!K$39/100</f>
        <v>645.02086526927997</v>
      </c>
      <c r="L30" s="19">
        <f>K30*'wynagrodzenia i koszty zatrudn '!L$39/100</f>
        <v>661.14638690101197</v>
      </c>
      <c r="M30" s="19">
        <f>L30*'wynagrodzenia i koszty zatrudn '!M$39/100</f>
        <v>677.6750465735372</v>
      </c>
      <c r="N30" s="18">
        <f>M30*'wynagrodzenia i koszty zatrudn '!N$39/100</f>
        <v>694.6169227378756</v>
      </c>
      <c r="O30" s="18">
        <f>N30*'wynagrodzenia i koszty zatrudn '!O$39/100</f>
        <v>711.98234580632254</v>
      </c>
      <c r="P30" s="18">
        <f>O30*'wynagrodzenia i koszty zatrudn '!P$39/100</f>
        <v>729.78190445148061</v>
      </c>
      <c r="Q30" s="18">
        <f>P30*'wynagrodzenia i koszty zatrudn '!Q$39/100</f>
        <v>748.02645206276759</v>
      </c>
    </row>
    <row r="31" spans="1:17" ht="18" customHeight="1" x14ac:dyDescent="0.25">
      <c r="B31" s="17">
        <v>4420</v>
      </c>
      <c r="C31" s="1" t="s">
        <v>4</v>
      </c>
      <c r="D31" s="48">
        <v>95.45</v>
      </c>
      <c r="E31" s="20">
        <f>E30</f>
        <v>1</v>
      </c>
      <c r="F31" s="20">
        <f>$F$3</f>
        <v>12</v>
      </c>
      <c r="G31" s="19">
        <f>E31*D31*F31</f>
        <v>1145.4000000000001</v>
      </c>
      <c r="H31" s="19">
        <f>G31*E39/100*F39/100*G39/100*H39/100</f>
        <v>1270.4734282752001</v>
      </c>
      <c r="I31" s="19">
        <f>H31*'wynagrodzenia i koszty zatrudn '!I$39/100</f>
        <v>1302.2352639820801</v>
      </c>
      <c r="J31" s="19">
        <f>I31*'wynagrodzenia i koszty zatrudn '!J$39/100</f>
        <v>1334.7911455816322</v>
      </c>
      <c r="K31" s="19">
        <f>J31*'wynagrodzenia i koszty zatrudn '!K$39/100</f>
        <v>1368.160924221173</v>
      </c>
      <c r="L31" s="19">
        <f>K31*'wynagrodzenia i koszty zatrudn '!L$39/100</f>
        <v>1402.3649473267023</v>
      </c>
      <c r="M31" s="19">
        <f>L31*'wynagrodzenia i koszty zatrudn '!M$39/100</f>
        <v>1437.4240710098697</v>
      </c>
      <c r="N31" s="18">
        <f>M31*'wynagrodzenia i koszty zatrudn '!N$39/100</f>
        <v>1473.3596727851163</v>
      </c>
      <c r="O31" s="18">
        <f>N31*'wynagrodzenia i koszty zatrudn '!O$39/100</f>
        <v>1510.1936646047441</v>
      </c>
      <c r="P31" s="18">
        <f>O31*'wynagrodzenia i koszty zatrudn '!P$39/100</f>
        <v>1547.9485062198626</v>
      </c>
      <c r="Q31" s="18">
        <f>P31*'wynagrodzenia i koszty zatrudn '!Q$39/100</f>
        <v>1586.6472188753592</v>
      </c>
    </row>
    <row r="32" spans="1:17" ht="26.25" thickBot="1" x14ac:dyDescent="0.3">
      <c r="B32" s="17">
        <v>3020</v>
      </c>
      <c r="C32" s="16" t="s">
        <v>3</v>
      </c>
      <c r="D32" s="49">
        <v>700</v>
      </c>
      <c r="E32" s="15">
        <f>3</f>
        <v>3</v>
      </c>
      <c r="F32" s="15" t="s">
        <v>2</v>
      </c>
      <c r="G32" s="14">
        <f>E32*D32</f>
        <v>2100</v>
      </c>
      <c r="H32" s="14">
        <f>G32*E39/100*F39/100*G39/100*H39/100</f>
        <v>2329.3122048</v>
      </c>
      <c r="I32" s="14">
        <f>H32*'wynagrodzenia i koszty zatrudn '!I$39/100</f>
        <v>2387.5450099200002</v>
      </c>
      <c r="J32" s="14">
        <f>I32*'wynagrodzenia i koszty zatrudn '!J$39/100</f>
        <v>2447.2336351680001</v>
      </c>
      <c r="K32" s="14">
        <f>J32*'wynagrodzenia i koszty zatrudn '!K$39/100</f>
        <v>2508.4144760472</v>
      </c>
      <c r="L32" s="14">
        <f>K32*'wynagrodzenia i koszty zatrudn '!L$39/100</f>
        <v>2571.12483794838</v>
      </c>
      <c r="M32" s="14">
        <f>L32*'wynagrodzenia i koszty zatrudn '!M$39/100</f>
        <v>2635.4029588970898</v>
      </c>
      <c r="N32" s="13">
        <f>M32*'wynagrodzenia i koszty zatrudn '!N$39/100</f>
        <v>2701.2880328695169</v>
      </c>
      <c r="O32" s="13">
        <f>N32*'wynagrodzenia i koszty zatrudn '!O$39/100</f>
        <v>2768.820233691255</v>
      </c>
      <c r="P32" s="13">
        <f>O32*'wynagrodzenia i koszty zatrudn '!P$39/100</f>
        <v>2838.0407395335365</v>
      </c>
      <c r="Q32" s="13">
        <f>P32*'wynagrodzenia i koszty zatrudn '!Q$39/100</f>
        <v>2908.9917580218748</v>
      </c>
    </row>
    <row r="33" spans="2:17" ht="26.25" customHeight="1" thickBot="1" x14ac:dyDescent="0.3">
      <c r="B33" s="12"/>
      <c r="C33" s="11" t="s">
        <v>1</v>
      </c>
      <c r="D33" s="10"/>
      <c r="E33" s="9"/>
      <c r="F33" s="9"/>
      <c r="G33" s="8">
        <f>SUM(G3:G32)</f>
        <v>542037.25126356015</v>
      </c>
      <c r="H33" s="8">
        <f>SUM(H3:H32)</f>
        <v>601225.70705926407</v>
      </c>
      <c r="I33" s="8">
        <f t="shared" ref="I33:N33" si="36">SUM(I3:I32)</f>
        <v>622426.0100173133</v>
      </c>
      <c r="J33" s="8">
        <f t="shared" si="36"/>
        <v>637986.66026774631</v>
      </c>
      <c r="K33" s="8">
        <f t="shared" si="36"/>
        <v>653936.32677443977</v>
      </c>
      <c r="L33" s="8">
        <f t="shared" si="36"/>
        <v>670284.73494380084</v>
      </c>
      <c r="M33" s="8">
        <f t="shared" si="36"/>
        <v>687041.85331739567</v>
      </c>
      <c r="N33" s="7">
        <f t="shared" si="36"/>
        <v>704217.89965033077</v>
      </c>
      <c r="O33" s="7">
        <f t="shared" ref="O33:P33" si="37">SUM(O3:O32)</f>
        <v>721823.34714158892</v>
      </c>
      <c r="P33" s="7">
        <f t="shared" si="37"/>
        <v>739868.93082012865</v>
      </c>
      <c r="Q33" s="7">
        <f t="shared" ref="Q33" si="38">SUM(Q3:Q32)</f>
        <v>758365.65409063199</v>
      </c>
    </row>
    <row r="34" spans="2:17" x14ac:dyDescent="0.25">
      <c r="C34" s="116" t="s">
        <v>85</v>
      </c>
      <c r="D34" s="103"/>
      <c r="E34" s="103"/>
      <c r="F34" s="103"/>
      <c r="G34" s="102">
        <f>SUM(G3:G20)</f>
        <v>422277.61126356007</v>
      </c>
      <c r="H34" s="102">
        <f>SUM(H3:H20)</f>
        <v>468388.75891904783</v>
      </c>
      <c r="I34" s="102">
        <f t="shared" ref="I34:Q34" si="39">SUM(I3:I20)</f>
        <v>519141.22218160436</v>
      </c>
      <c r="J34" s="102">
        <f t="shared" si="39"/>
        <v>532119.75273614458</v>
      </c>
      <c r="K34" s="102">
        <f t="shared" si="39"/>
        <v>545422.74655454827</v>
      </c>
      <c r="L34" s="102">
        <f>SUM(L3:L20)</f>
        <v>559058.31521841185</v>
      </c>
      <c r="M34" s="102">
        <f t="shared" si="39"/>
        <v>573034.77309887204</v>
      </c>
      <c r="N34" s="102">
        <f t="shared" si="39"/>
        <v>587360.64242634398</v>
      </c>
      <c r="O34" s="102">
        <f>SUM(O3:O20)</f>
        <v>602044.65848700248</v>
      </c>
      <c r="P34" s="102">
        <f t="shared" si="39"/>
        <v>617095.77494917763</v>
      </c>
      <c r="Q34" s="102">
        <f t="shared" si="39"/>
        <v>632523.16932290711</v>
      </c>
    </row>
    <row r="35" spans="2:17" x14ac:dyDescent="0.25">
      <c r="C35" s="56" t="s">
        <v>61</v>
      </c>
      <c r="D35" s="56"/>
      <c r="E35" s="56"/>
      <c r="F35" s="56"/>
      <c r="G35" s="70">
        <f>(((SUM(G3,G5,G6,G7,G9,G11,G12,G13,G15,G17,G18,G19,G16,G10,G4))*32%))*15%</f>
        <v>19877.155740650884</v>
      </c>
      <c r="H35" s="70">
        <f>(((SUM(H3,H5,H6,H7,H9,H11,H12,H13,H15,H17,H18,H19,H16,H10,H4))*32%))*15%</f>
        <v>22047.667363527849</v>
      </c>
      <c r="I35" s="70">
        <f t="shared" ref="I35:P35" si="40">(((SUM(I3,I5,I6,I7,I9,I11,I12,I13,I15,I17,I18,I19,I16,I10,I4))*32%))*15%</f>
        <v>24472.910773515905</v>
      </c>
      <c r="J35" s="70">
        <f>(((SUM(J3,J5,J6,J7,J9,J11,J12,J13,J15,J17,J18,J19,J16,J10,J4))*32%))*15%</f>
        <v>25084.733542853806</v>
      </c>
      <c r="K35" s="70">
        <f t="shared" si="40"/>
        <v>25711.851881425147</v>
      </c>
      <c r="L35" s="70">
        <f t="shared" si="40"/>
        <v>26354.648178460779</v>
      </c>
      <c r="M35" s="70">
        <f t="shared" si="40"/>
        <v>27013.514382922291</v>
      </c>
      <c r="N35" s="70">
        <f t="shared" si="40"/>
        <v>27688.852242495359</v>
      </c>
      <c r="O35" s="70">
        <f t="shared" si="40"/>
        <v>28381.073548557732</v>
      </c>
      <c r="P35" s="70">
        <f t="shared" si="40"/>
        <v>29090.600387271683</v>
      </c>
      <c r="Q35" s="70">
        <f>(((SUM(Q3,Q5,Q6,Q7,Q9,Q11,Q12,Q13,Q15,Q17,Q18,Q19,Q16,Q10,Q4))*32%))*15%</f>
        <v>29817.865396953468</v>
      </c>
    </row>
    <row r="36" spans="2:17" x14ac:dyDescent="0.25">
      <c r="C36" s="56" t="s">
        <v>62</v>
      </c>
      <c r="D36" s="56"/>
      <c r="E36" s="56"/>
      <c r="F36" s="56"/>
      <c r="G36" s="70">
        <f>(G35/15)*85</f>
        <v>112637.21586368834</v>
      </c>
      <c r="H36" s="70">
        <f>(H35/15)*85</f>
        <v>124936.78172665782</v>
      </c>
      <c r="I36" s="70">
        <f t="shared" ref="I36:Q36" si="41">(I35/15)*85</f>
        <v>138679.82771659011</v>
      </c>
      <c r="J36" s="70">
        <f t="shared" si="41"/>
        <v>142146.8234095049</v>
      </c>
      <c r="K36" s="70">
        <f t="shared" si="41"/>
        <v>145700.49399474252</v>
      </c>
      <c r="L36" s="70">
        <f t="shared" si="41"/>
        <v>149343.00634461109</v>
      </c>
      <c r="M36" s="70">
        <f t="shared" si="41"/>
        <v>153076.58150322631</v>
      </c>
      <c r="N36" s="70">
        <f t="shared" si="41"/>
        <v>156903.49604080702</v>
      </c>
      <c r="O36" s="70">
        <f t="shared" si="41"/>
        <v>160826.08344182716</v>
      </c>
      <c r="P36" s="70">
        <f t="shared" si="41"/>
        <v>164846.73552787286</v>
      </c>
      <c r="Q36" s="70">
        <f t="shared" si="41"/>
        <v>168967.90391606966</v>
      </c>
    </row>
    <row r="37" spans="2:17" x14ac:dyDescent="0.25">
      <c r="F37" s="36"/>
      <c r="G37" s="36"/>
      <c r="H37" s="36"/>
    </row>
    <row r="38" spans="2:17" x14ac:dyDescent="0.25">
      <c r="B38" s="37"/>
      <c r="C38" s="38"/>
      <c r="D38" s="6">
        <v>2025</v>
      </c>
      <c r="E38" s="6">
        <v>2026</v>
      </c>
      <c r="F38" s="6">
        <v>2027</v>
      </c>
      <c r="G38" s="6">
        <v>2028</v>
      </c>
      <c r="H38" s="6">
        <v>2029</v>
      </c>
      <c r="I38" s="6">
        <v>2030</v>
      </c>
      <c r="J38" s="6">
        <v>2031</v>
      </c>
      <c r="K38" s="6">
        <v>2032</v>
      </c>
      <c r="L38" s="6">
        <v>2033</v>
      </c>
      <c r="M38" s="6">
        <v>2034</v>
      </c>
      <c r="N38" s="6">
        <v>2035</v>
      </c>
      <c r="O38" s="6">
        <v>2036</v>
      </c>
      <c r="P38" s="6">
        <v>2037</v>
      </c>
      <c r="Q38" s="6">
        <v>2038</v>
      </c>
    </row>
    <row r="39" spans="2:17" s="39" customFormat="1" x14ac:dyDescent="0.25">
      <c r="B39" s="141" t="s">
        <v>0</v>
      </c>
      <c r="C39" s="142"/>
      <c r="D39" s="57">
        <v>0</v>
      </c>
      <c r="E39" s="5">
        <v>103</v>
      </c>
      <c r="F39" s="73">
        <v>102.6</v>
      </c>
      <c r="G39" s="73">
        <v>102.5</v>
      </c>
      <c r="H39" s="73">
        <v>102.4</v>
      </c>
      <c r="I39" s="5">
        <v>102.5</v>
      </c>
      <c r="J39" s="5">
        <v>102.5</v>
      </c>
      <c r="K39" s="5">
        <v>102.5</v>
      </c>
      <c r="L39" s="5">
        <v>102.5</v>
      </c>
      <c r="M39" s="5">
        <v>102.5</v>
      </c>
      <c r="N39" s="5">
        <v>102.5</v>
      </c>
      <c r="O39" s="5">
        <v>102.5</v>
      </c>
      <c r="P39" s="5">
        <v>102.5</v>
      </c>
      <c r="Q39" s="5">
        <v>102.5</v>
      </c>
    </row>
    <row r="40" spans="2:17" x14ac:dyDescent="0.25">
      <c r="B40" s="139" t="s">
        <v>29</v>
      </c>
      <c r="C40" s="140"/>
      <c r="D40" s="4">
        <f>3.43*2759.97</f>
        <v>9466.6970999999994</v>
      </c>
      <c r="E40" s="3">
        <f>D40*E39/100</f>
        <v>9750.6980129999993</v>
      </c>
      <c r="F40" s="3">
        <f t="shared" ref="F40:Q40" si="42">E40*F39/100</f>
        <v>10004.216161337999</v>
      </c>
      <c r="G40" s="3">
        <f t="shared" si="42"/>
        <v>10254.321565371449</v>
      </c>
      <c r="H40" s="3">
        <f t="shared" si="42"/>
        <v>10500.425282940363</v>
      </c>
      <c r="I40" s="3">
        <f t="shared" si="42"/>
        <v>10762.935915013873</v>
      </c>
      <c r="J40" s="3">
        <f t="shared" si="42"/>
        <v>11032.00931288922</v>
      </c>
      <c r="K40" s="3">
        <f t="shared" si="42"/>
        <v>11307.80954571145</v>
      </c>
      <c r="L40" s="3">
        <f t="shared" si="42"/>
        <v>11590.504784354236</v>
      </c>
      <c r="M40" s="3">
        <f t="shared" si="42"/>
        <v>11880.267403963091</v>
      </c>
      <c r="N40" s="3">
        <f t="shared" si="42"/>
        <v>12177.274089062168</v>
      </c>
      <c r="O40" s="3">
        <f t="shared" si="42"/>
        <v>12481.705941288723</v>
      </c>
      <c r="P40" s="3">
        <f t="shared" si="42"/>
        <v>12793.748589820942</v>
      </c>
      <c r="Q40" s="3">
        <f t="shared" si="42"/>
        <v>13113.592304566466</v>
      </c>
    </row>
    <row r="41" spans="2:17" x14ac:dyDescent="0.25">
      <c r="B41" s="139" t="s">
        <v>41</v>
      </c>
      <c r="C41" s="140"/>
      <c r="D41" s="4">
        <f>3.43*2759.97</f>
        <v>9466.6970999999994</v>
      </c>
      <c r="E41" s="3">
        <f t="shared" ref="E41:Q41" si="43">D41*E39/100</f>
        <v>9750.6980129999993</v>
      </c>
      <c r="F41" s="3">
        <f t="shared" si="43"/>
        <v>10004.216161337999</v>
      </c>
      <c r="G41" s="3">
        <f t="shared" si="43"/>
        <v>10254.321565371449</v>
      </c>
      <c r="H41" s="3">
        <f t="shared" si="43"/>
        <v>10500.425282940363</v>
      </c>
      <c r="I41" s="3">
        <f t="shared" si="43"/>
        <v>10762.935915013873</v>
      </c>
      <c r="J41" s="3">
        <f t="shared" si="43"/>
        <v>11032.00931288922</v>
      </c>
      <c r="K41" s="3">
        <f t="shared" si="43"/>
        <v>11307.80954571145</v>
      </c>
      <c r="L41" s="3">
        <f t="shared" si="43"/>
        <v>11590.504784354236</v>
      </c>
      <c r="M41" s="3">
        <f t="shared" si="43"/>
        <v>11880.267403963091</v>
      </c>
      <c r="N41" s="3">
        <f t="shared" si="43"/>
        <v>12177.274089062168</v>
      </c>
      <c r="O41" s="3">
        <f t="shared" si="43"/>
        <v>12481.705941288723</v>
      </c>
      <c r="P41" s="3">
        <f t="shared" si="43"/>
        <v>12793.748589820942</v>
      </c>
      <c r="Q41" s="3">
        <f t="shared" si="43"/>
        <v>13113.592304566466</v>
      </c>
    </row>
    <row r="42" spans="2:17" x14ac:dyDescent="0.25">
      <c r="B42" s="139" t="s">
        <v>40</v>
      </c>
      <c r="C42" s="140"/>
      <c r="D42" s="4">
        <f>3.43*2759.97</f>
        <v>9466.6970999999994</v>
      </c>
      <c r="E42" s="3">
        <f t="shared" ref="E42:Q42" si="44">D42*E39/100</f>
        <v>9750.6980129999993</v>
      </c>
      <c r="F42" s="3">
        <f t="shared" si="44"/>
        <v>10004.216161337999</v>
      </c>
      <c r="G42" s="3">
        <f t="shared" si="44"/>
        <v>10254.321565371449</v>
      </c>
      <c r="H42" s="3">
        <f t="shared" si="44"/>
        <v>10500.425282940363</v>
      </c>
      <c r="I42" s="3">
        <f t="shared" si="44"/>
        <v>10762.935915013873</v>
      </c>
      <c r="J42" s="3">
        <f t="shared" si="44"/>
        <v>11032.00931288922</v>
      </c>
      <c r="K42" s="3">
        <f t="shared" si="44"/>
        <v>11307.80954571145</v>
      </c>
      <c r="L42" s="3">
        <f t="shared" si="44"/>
        <v>11590.504784354236</v>
      </c>
      <c r="M42" s="3">
        <f t="shared" si="44"/>
        <v>11880.267403963091</v>
      </c>
      <c r="N42" s="3">
        <f t="shared" si="44"/>
        <v>12177.274089062168</v>
      </c>
      <c r="O42" s="3">
        <f t="shared" si="44"/>
        <v>12481.705941288723</v>
      </c>
      <c r="P42" s="3">
        <f t="shared" si="44"/>
        <v>12793.748589820942</v>
      </c>
      <c r="Q42" s="3">
        <f t="shared" si="44"/>
        <v>13113.592304566466</v>
      </c>
    </row>
    <row r="43" spans="2:17" x14ac:dyDescent="0.25">
      <c r="D43" s="2" t="s">
        <v>45</v>
      </c>
    </row>
    <row r="45" spans="2:17" x14ac:dyDescent="0.25">
      <c r="C45" s="35" t="s">
        <v>28</v>
      </c>
    </row>
    <row r="46" spans="2:17" x14ac:dyDescent="0.25">
      <c r="C46" s="5">
        <f>1</f>
        <v>1</v>
      </c>
    </row>
    <row r="49" spans="1:17" x14ac:dyDescent="0.25">
      <c r="D49" s="69" t="s">
        <v>42</v>
      </c>
      <c r="L49" s="68">
        <v>9465.6200000000008</v>
      </c>
    </row>
    <row r="50" spans="1:17" x14ac:dyDescent="0.25">
      <c r="D50" s="69" t="s">
        <v>43</v>
      </c>
      <c r="I50" s="67">
        <f>L49/2759.97</f>
        <v>3.429609742134879</v>
      </c>
    </row>
    <row r="52" spans="1:17" ht="15.75" x14ac:dyDescent="0.25">
      <c r="A52" s="87" t="s">
        <v>46</v>
      </c>
      <c r="B52" s="87" t="s">
        <v>47</v>
      </c>
      <c r="C52" s="88"/>
      <c r="D52" s="56"/>
      <c r="E52" s="56">
        <v>2025</v>
      </c>
      <c r="F52" s="56">
        <v>2029</v>
      </c>
      <c r="G52" s="56">
        <v>2030</v>
      </c>
      <c r="H52" s="56">
        <v>2031</v>
      </c>
      <c r="I52" s="56">
        <v>2032</v>
      </c>
      <c r="J52" s="56">
        <v>2033</v>
      </c>
      <c r="K52" s="56">
        <v>2034</v>
      </c>
      <c r="L52" s="56">
        <v>2035</v>
      </c>
      <c r="M52" s="56">
        <v>2036</v>
      </c>
      <c r="N52" s="56">
        <v>2037</v>
      </c>
      <c r="O52" s="56">
        <v>2038</v>
      </c>
    </row>
    <row r="53" spans="1:17" ht="15.75" x14ac:dyDescent="0.25">
      <c r="A53" s="87" t="s">
        <v>48</v>
      </c>
      <c r="B53" s="87" t="s">
        <v>49</v>
      </c>
      <c r="C53" s="89">
        <v>0.01</v>
      </c>
      <c r="D53" s="61"/>
      <c r="E53" s="85">
        <f>$C53*(G3+G9+G15)</f>
        <v>3408.0109560000001</v>
      </c>
      <c r="F53" s="85">
        <f>$C53*(H3+H9+H15)</f>
        <v>3780.1531018585306</v>
      </c>
      <c r="G53" s="85">
        <f t="shared" ref="G53:O53" si="45">$C53*(I3+I9+I15)</f>
        <v>3874.6569294049946</v>
      </c>
      <c r="H53" s="85">
        <f t="shared" si="45"/>
        <v>3971.5233526401198</v>
      </c>
      <c r="I53" s="85">
        <f t="shared" si="45"/>
        <v>4070.811436456122</v>
      </c>
      <c r="J53" s="85">
        <f t="shared" si="45"/>
        <v>4172.5817223675249</v>
      </c>
      <c r="K53" s="85">
        <f t="shared" si="45"/>
        <v>4276.8962654267125</v>
      </c>
      <c r="L53" s="85">
        <f t="shared" si="45"/>
        <v>4383.8186720623808</v>
      </c>
      <c r="M53" s="85">
        <f t="shared" si="45"/>
        <v>4493.41413886394</v>
      </c>
      <c r="N53" s="85">
        <f t="shared" si="45"/>
        <v>4605.7494923355389</v>
      </c>
      <c r="O53" s="85">
        <f t="shared" si="45"/>
        <v>4720.893229643927</v>
      </c>
      <c r="P53" s="36"/>
      <c r="Q53" s="36"/>
    </row>
    <row r="54" spans="1:17" ht="15.75" x14ac:dyDescent="0.25">
      <c r="A54" s="87" t="s">
        <v>48</v>
      </c>
      <c r="B54" s="87" t="s">
        <v>50</v>
      </c>
      <c r="C54" s="90">
        <v>1.4500000000000001E-2</v>
      </c>
      <c r="D54" s="61"/>
      <c r="E54" s="85">
        <f>$C54*(G3+G9+G15)</f>
        <v>4941.6158862000002</v>
      </c>
      <c r="F54" s="85">
        <f>$C54*(H3+H9+H15)</f>
        <v>5481.2219976948691</v>
      </c>
      <c r="G54" s="85">
        <f t="shared" ref="G54:O54" si="46">$C54*(I3+I9+I15)</f>
        <v>5618.2525476372421</v>
      </c>
      <c r="H54" s="85">
        <f t="shared" si="46"/>
        <v>5758.708861328174</v>
      </c>
      <c r="I54" s="85">
        <f t="shared" si="46"/>
        <v>5902.676582861377</v>
      </c>
      <c r="J54" s="85">
        <f t="shared" si="46"/>
        <v>6050.2434974329117</v>
      </c>
      <c r="K54" s="85">
        <f t="shared" si="46"/>
        <v>6201.4995848687331</v>
      </c>
      <c r="L54" s="85">
        <f t="shared" si="46"/>
        <v>6356.5370744904531</v>
      </c>
      <c r="M54" s="85">
        <f t="shared" si="46"/>
        <v>6515.4505013527132</v>
      </c>
      <c r="N54" s="85">
        <f t="shared" si="46"/>
        <v>6678.336763886532</v>
      </c>
      <c r="O54" s="85">
        <f t="shared" si="46"/>
        <v>6845.2951829836948</v>
      </c>
      <c r="P54" s="36"/>
      <c r="Q54" s="36"/>
    </row>
    <row r="55" spans="1:17" ht="15.75" x14ac:dyDescent="0.25">
      <c r="A55" s="87" t="s">
        <v>48</v>
      </c>
      <c r="B55" s="87" t="s">
        <v>51</v>
      </c>
      <c r="C55" s="90">
        <v>1E-3</v>
      </c>
      <c r="D55" s="61"/>
      <c r="E55" s="85">
        <f>$C55*(G3+G9+G15)</f>
        <v>340.8010956</v>
      </c>
      <c r="F55" s="85">
        <f>$C55*(H3+H9+H15)</f>
        <v>378.01531018585302</v>
      </c>
      <c r="G55" s="85">
        <f t="shared" ref="G55:O55" si="47">$C55*(I3+I9+I15)</f>
        <v>387.46569294049948</v>
      </c>
      <c r="H55" s="85">
        <f t="shared" si="47"/>
        <v>397.15233526401198</v>
      </c>
      <c r="I55" s="85">
        <f t="shared" si="47"/>
        <v>407.0811436456122</v>
      </c>
      <c r="J55" s="85">
        <f t="shared" si="47"/>
        <v>417.25817223675256</v>
      </c>
      <c r="K55" s="85">
        <f t="shared" si="47"/>
        <v>427.68962654267125</v>
      </c>
      <c r="L55" s="85">
        <f t="shared" si="47"/>
        <v>438.3818672062381</v>
      </c>
      <c r="M55" s="85">
        <f t="shared" si="47"/>
        <v>449.34141388639404</v>
      </c>
      <c r="N55" s="85">
        <f t="shared" si="47"/>
        <v>460.57494923355392</v>
      </c>
      <c r="O55" s="85">
        <f t="shared" si="47"/>
        <v>472.08932296439275</v>
      </c>
      <c r="P55" s="36"/>
      <c r="Q55" s="36"/>
    </row>
    <row r="56" spans="1:17" ht="15.75" x14ac:dyDescent="0.25">
      <c r="A56" s="87" t="s">
        <v>18</v>
      </c>
      <c r="B56" s="87" t="s">
        <v>52</v>
      </c>
      <c r="C56" s="90">
        <v>9.7600000000000006E-2</v>
      </c>
      <c r="D56" s="61"/>
      <c r="E56" s="85">
        <f>$C56*(G3+G9+G15)</f>
        <v>33262.186930560005</v>
      </c>
      <c r="F56" s="85">
        <f>$C56*(H3+H9+H15)</f>
        <v>36894.294274139262</v>
      </c>
      <c r="G56" s="85">
        <f t="shared" ref="G56:O56" si="48">$C56*(I3+I9+I15)</f>
        <v>37816.651630992747</v>
      </c>
      <c r="H56" s="85">
        <f t="shared" si="48"/>
        <v>38762.067921767572</v>
      </c>
      <c r="I56" s="85">
        <f t="shared" si="48"/>
        <v>39731.119619811754</v>
      </c>
      <c r="J56" s="85">
        <f t="shared" si="48"/>
        <v>40724.397610307045</v>
      </c>
      <c r="K56" s="85">
        <f t="shared" si="48"/>
        <v>41742.507550564718</v>
      </c>
      <c r="L56" s="85">
        <f t="shared" si="48"/>
        <v>42786.070239328837</v>
      </c>
      <c r="M56" s="85">
        <f t="shared" si="48"/>
        <v>43855.721995312058</v>
      </c>
      <c r="N56" s="85">
        <f t="shared" si="48"/>
        <v>44952.115045194863</v>
      </c>
      <c r="O56" s="85">
        <f t="shared" si="48"/>
        <v>46075.917921324733</v>
      </c>
      <c r="P56" s="36"/>
      <c r="Q56" s="36"/>
    </row>
    <row r="57" spans="1:17" ht="15.75" x14ac:dyDescent="0.25">
      <c r="A57" s="87" t="s">
        <v>18</v>
      </c>
      <c r="B57" s="87" t="s">
        <v>53</v>
      </c>
      <c r="C57" s="91">
        <v>6.5000000000000002E-2</v>
      </c>
      <c r="D57" s="61"/>
      <c r="E57" s="85">
        <f>$C57*(G3+G9+G15)</f>
        <v>22152.071214</v>
      </c>
      <c r="F57" s="85">
        <f>$C57*(H3+H9+H15)</f>
        <v>24570.99516208045</v>
      </c>
      <c r="G57" s="85">
        <f t="shared" ref="G57:O57" si="49">$C57*(I3+I9+I15)</f>
        <v>25185.270041132466</v>
      </c>
      <c r="H57" s="85">
        <f t="shared" si="49"/>
        <v>25814.901792160781</v>
      </c>
      <c r="I57" s="85">
        <f t="shared" si="49"/>
        <v>26460.274336964791</v>
      </c>
      <c r="J57" s="85">
        <f t="shared" si="49"/>
        <v>27121.781195388914</v>
      </c>
      <c r="K57" s="85">
        <f t="shared" si="49"/>
        <v>27799.825725273633</v>
      </c>
      <c r="L57" s="85">
        <f t="shared" si="49"/>
        <v>28494.821368405475</v>
      </c>
      <c r="M57" s="85">
        <f t="shared" si="49"/>
        <v>29207.19190261561</v>
      </c>
      <c r="N57" s="85">
        <f t="shared" si="49"/>
        <v>29937.371700181004</v>
      </c>
      <c r="O57" s="85">
        <f t="shared" si="49"/>
        <v>30685.805992685528</v>
      </c>
      <c r="P57" s="36"/>
      <c r="Q57" s="36"/>
    </row>
    <row r="58" spans="1:17" ht="15.75" x14ac:dyDescent="0.25">
      <c r="A58" s="87" t="s">
        <v>18</v>
      </c>
      <c r="B58" s="87" t="s">
        <v>54</v>
      </c>
      <c r="C58" s="90">
        <v>9.7600000000000006E-2</v>
      </c>
      <c r="D58" s="61"/>
      <c r="E58" s="85">
        <f>$C58*(G3+G9+G15)</f>
        <v>33262.186930560005</v>
      </c>
      <c r="F58" s="85">
        <f>$C58*(H3+H9+H15)</f>
        <v>36894.294274139262</v>
      </c>
      <c r="G58" s="85">
        <f t="shared" ref="G58:O58" si="50">$C58*(I3+I9+I15)</f>
        <v>37816.651630992747</v>
      </c>
      <c r="H58" s="85">
        <f t="shared" si="50"/>
        <v>38762.067921767572</v>
      </c>
      <c r="I58" s="85">
        <f t="shared" si="50"/>
        <v>39731.119619811754</v>
      </c>
      <c r="J58" s="85">
        <f t="shared" si="50"/>
        <v>40724.397610307045</v>
      </c>
      <c r="K58" s="85">
        <f t="shared" si="50"/>
        <v>41742.507550564718</v>
      </c>
      <c r="L58" s="85">
        <f t="shared" si="50"/>
        <v>42786.070239328837</v>
      </c>
      <c r="M58" s="85">
        <f t="shared" si="50"/>
        <v>43855.721995312058</v>
      </c>
      <c r="N58" s="85">
        <f t="shared" si="50"/>
        <v>44952.115045194863</v>
      </c>
      <c r="O58" s="85">
        <f t="shared" si="50"/>
        <v>46075.917921324733</v>
      </c>
      <c r="P58" s="36"/>
      <c r="Q58" s="36"/>
    </row>
    <row r="59" spans="1:17" ht="15.75" x14ac:dyDescent="0.25">
      <c r="A59" s="87" t="s">
        <v>18</v>
      </c>
      <c r="B59" s="87" t="s">
        <v>55</v>
      </c>
      <c r="C59" s="91">
        <v>1.4999999999999999E-2</v>
      </c>
      <c r="D59" s="61"/>
      <c r="E59" s="85">
        <f>$C59*(G3+Podsumowanie!H9+G15)</f>
        <v>3408.0109560000001</v>
      </c>
      <c r="F59" s="85">
        <f>$C59*(H3+H9+H15)</f>
        <v>5670.2296527877952</v>
      </c>
      <c r="G59" s="85">
        <f t="shared" ref="G59:O59" si="51">$C59*(I3+I9+I15)</f>
        <v>5811.9853941074916</v>
      </c>
      <c r="H59" s="85">
        <f t="shared" si="51"/>
        <v>5957.2850289601793</v>
      </c>
      <c r="I59" s="85">
        <f t="shared" si="51"/>
        <v>6106.2171546841828</v>
      </c>
      <c r="J59" s="85">
        <f t="shared" si="51"/>
        <v>6258.8725835512878</v>
      </c>
      <c r="K59" s="85">
        <f t="shared" si="51"/>
        <v>6415.3443981400678</v>
      </c>
      <c r="L59" s="85">
        <f t="shared" si="51"/>
        <v>6575.7280080935716</v>
      </c>
      <c r="M59" s="85">
        <f t="shared" si="51"/>
        <v>6740.12120829591</v>
      </c>
      <c r="N59" s="85">
        <f t="shared" si="51"/>
        <v>6908.6242385033083</v>
      </c>
      <c r="O59" s="85">
        <f t="shared" si="51"/>
        <v>7081.3398444658906</v>
      </c>
      <c r="P59" s="36"/>
      <c r="Q59" s="36"/>
    </row>
    <row r="60" spans="1:17" ht="15.75" x14ac:dyDescent="0.25">
      <c r="A60" s="87" t="s">
        <v>18</v>
      </c>
      <c r="B60" s="87" t="s">
        <v>57</v>
      </c>
      <c r="C60" s="90">
        <v>2.4500000000000001E-2</v>
      </c>
      <c r="D60" s="61"/>
      <c r="E60" s="85">
        <f>$C60*(G3+G9+G15)</f>
        <v>8349.6268422000012</v>
      </c>
      <c r="F60" s="85">
        <f>$C60*(H3+H9+H15)</f>
        <v>9261.3750995533992</v>
      </c>
      <c r="G60" s="85">
        <f t="shared" ref="G60:O60" si="52">$C60*(I3+I9+I15)</f>
        <v>9492.909477042238</v>
      </c>
      <c r="H60" s="85">
        <f t="shared" si="52"/>
        <v>9730.2322139682947</v>
      </c>
      <c r="I60" s="85">
        <f t="shared" si="52"/>
        <v>9973.4880193174995</v>
      </c>
      <c r="J60" s="85">
        <f t="shared" si="52"/>
        <v>10222.825219800437</v>
      </c>
      <c r="K60" s="85">
        <f t="shared" si="52"/>
        <v>10478.395850295447</v>
      </c>
      <c r="L60" s="85">
        <f t="shared" si="52"/>
        <v>10740.355746552834</v>
      </c>
      <c r="M60" s="85">
        <f t="shared" si="52"/>
        <v>11008.864640216654</v>
      </c>
      <c r="N60" s="85">
        <f t="shared" si="52"/>
        <v>11284.08625622207</v>
      </c>
      <c r="O60" s="85">
        <f t="shared" si="52"/>
        <v>11566.188412627622</v>
      </c>
      <c r="P60" s="36"/>
      <c r="Q60" s="36"/>
    </row>
    <row r="61" spans="1:17" ht="15.75" x14ac:dyDescent="0.25">
      <c r="A61" s="87" t="s">
        <v>18</v>
      </c>
      <c r="B61" s="87" t="s">
        <v>58</v>
      </c>
      <c r="C61" s="90">
        <v>8.0000000000000002E-3</v>
      </c>
      <c r="D61" s="61"/>
      <c r="E61" s="85">
        <f>$C61*(G3+G9+G15)</f>
        <v>2726.4087648</v>
      </c>
      <c r="F61" s="85">
        <f>$C61*(H3+H9+H15)</f>
        <v>3024.1224814868242</v>
      </c>
      <c r="G61" s="85">
        <f t="shared" ref="G61:O61" si="53">$C61*(I3+I9+I15)</f>
        <v>3099.7255435239958</v>
      </c>
      <c r="H61" s="85">
        <f t="shared" si="53"/>
        <v>3177.2186821120958</v>
      </c>
      <c r="I61" s="85">
        <f t="shared" si="53"/>
        <v>3256.6491491648976</v>
      </c>
      <c r="J61" s="85">
        <f t="shared" si="53"/>
        <v>3338.0653778940205</v>
      </c>
      <c r="K61" s="85">
        <f t="shared" si="53"/>
        <v>3421.51701234137</v>
      </c>
      <c r="L61" s="85">
        <f t="shared" si="53"/>
        <v>3507.0549376499048</v>
      </c>
      <c r="M61" s="85">
        <f t="shared" si="53"/>
        <v>3594.7313110911523</v>
      </c>
      <c r="N61" s="85">
        <f t="shared" si="53"/>
        <v>3684.5995938684314</v>
      </c>
      <c r="O61" s="85">
        <f t="shared" si="53"/>
        <v>3776.714583715142</v>
      </c>
      <c r="P61" s="36"/>
      <c r="Q61" s="36"/>
    </row>
    <row r="62" spans="1:17" s="96" customFormat="1" ht="15.75" x14ac:dyDescent="0.25">
      <c r="A62" s="98" t="s">
        <v>56</v>
      </c>
      <c r="B62" s="98" t="s">
        <v>83</v>
      </c>
      <c r="C62" s="99">
        <v>0.09</v>
      </c>
      <c r="D62" s="100"/>
      <c r="E62" s="101">
        <f>$C62*(G3+G9+G15)</f>
        <v>30672.098603999999</v>
      </c>
      <c r="F62" s="101">
        <f t="shared" ref="F62:O62" si="54">$C62*(H3+H9+H15)</f>
        <v>34021.377916726771</v>
      </c>
      <c r="G62" s="101">
        <f t="shared" si="54"/>
        <v>34871.912364644952</v>
      </c>
      <c r="H62" s="101">
        <f t="shared" si="54"/>
        <v>35743.710173761079</v>
      </c>
      <c r="I62" s="101">
        <f t="shared" si="54"/>
        <v>36637.302928105091</v>
      </c>
      <c r="J62" s="101">
        <f t="shared" si="54"/>
        <v>37553.235501307725</v>
      </c>
      <c r="K62" s="101">
        <f t="shared" si="54"/>
        <v>38492.066388840409</v>
      </c>
      <c r="L62" s="101">
        <f t="shared" si="54"/>
        <v>39454.368048561424</v>
      </c>
      <c r="M62" s="101">
        <f t="shared" si="54"/>
        <v>40440.72724977546</v>
      </c>
      <c r="N62" s="101">
        <f t="shared" si="54"/>
        <v>41451.745431019852</v>
      </c>
      <c r="O62" s="101">
        <f t="shared" si="54"/>
        <v>42488.03906679534</v>
      </c>
    </row>
    <row r="63" spans="1:17" s="103" customFormat="1" ht="15.75" x14ac:dyDescent="0.25">
      <c r="A63" s="87" t="s">
        <v>59</v>
      </c>
      <c r="B63" s="88"/>
      <c r="C63" s="88"/>
      <c r="D63" s="56"/>
      <c r="E63" s="70">
        <f t="shared" ref="E63" si="55">E53+E54+E55</f>
        <v>8690.4279377999992</v>
      </c>
      <c r="F63" s="70">
        <f t="shared" ref="F63:O63" si="56">F53+F54+F55</f>
        <v>9639.3904097392515</v>
      </c>
      <c r="G63" s="70">
        <f t="shared" si="56"/>
        <v>9880.3751699827353</v>
      </c>
      <c r="H63" s="70">
        <f t="shared" si="56"/>
        <v>10127.384549232307</v>
      </c>
      <c r="I63" s="70">
        <f t="shared" si="56"/>
        <v>10380.569162963111</v>
      </c>
      <c r="J63" s="70">
        <f t="shared" si="56"/>
        <v>10640.08339203719</v>
      </c>
      <c r="K63" s="70">
        <f t="shared" si="56"/>
        <v>10906.085476838116</v>
      </c>
      <c r="L63" s="70">
        <f t="shared" si="56"/>
        <v>11178.737613759073</v>
      </c>
      <c r="M63" s="70">
        <f t="shared" si="56"/>
        <v>11458.206054103046</v>
      </c>
      <c r="N63" s="70">
        <f t="shared" si="56"/>
        <v>11744.661205455626</v>
      </c>
      <c r="O63" s="70">
        <f t="shared" si="56"/>
        <v>12038.277735592015</v>
      </c>
      <c r="P63" s="102"/>
      <c r="Q63" s="102"/>
    </row>
    <row r="64" spans="1:17" ht="15.75" x14ac:dyDescent="0.25">
      <c r="A64" s="87" t="s">
        <v>60</v>
      </c>
      <c r="B64" s="88"/>
      <c r="C64" s="88"/>
      <c r="D64" s="86"/>
      <c r="E64" s="85">
        <f>E56+E57+E58+E59+E61</f>
        <v>94810.864795920017</v>
      </c>
      <c r="F64" s="85">
        <f t="shared" ref="F64:O64" si="57">F56+F57+F58+F59+F61</f>
        <v>107053.93584463358</v>
      </c>
      <c r="G64" s="85">
        <f t="shared" si="57"/>
        <v>109730.28424074946</v>
      </c>
      <c r="H64" s="85">
        <f t="shared" si="57"/>
        <v>112473.54134676819</v>
      </c>
      <c r="I64" s="85">
        <f t="shared" si="57"/>
        <v>115285.37988043738</v>
      </c>
      <c r="J64" s="85">
        <f t="shared" si="57"/>
        <v>118167.51437744831</v>
      </c>
      <c r="K64" s="85">
        <f t="shared" si="57"/>
        <v>121121.70223688449</v>
      </c>
      <c r="L64" s="85">
        <f t="shared" si="57"/>
        <v>124149.74479280664</v>
      </c>
      <c r="M64" s="85">
        <f t="shared" si="57"/>
        <v>127253.48841262679</v>
      </c>
      <c r="N64" s="85">
        <f t="shared" si="57"/>
        <v>130434.82562294247</v>
      </c>
      <c r="O64" s="85">
        <f t="shared" si="57"/>
        <v>133695.69626351603</v>
      </c>
      <c r="P64" s="36"/>
      <c r="Q64" s="36"/>
    </row>
    <row r="65" spans="1:15" s="106" customFormat="1" ht="33" customHeight="1" x14ac:dyDescent="0.25">
      <c r="A65" s="138" t="s">
        <v>84</v>
      </c>
      <c r="B65" s="138"/>
      <c r="C65" s="107">
        <v>2.4500000000000001E-2</v>
      </c>
      <c r="D65" s="104"/>
      <c r="E65" s="105">
        <f>E53+E54</f>
        <v>8349.6268421999994</v>
      </c>
      <c r="F65" s="105">
        <f>F53+F54</f>
        <v>9261.3750995533992</v>
      </c>
      <c r="G65" s="105">
        <f t="shared" ref="G65:O65" si="58">G53+G54</f>
        <v>9492.9094770422362</v>
      </c>
      <c r="H65" s="105">
        <f t="shared" si="58"/>
        <v>9730.2322139682947</v>
      </c>
      <c r="I65" s="105">
        <f t="shared" si="58"/>
        <v>9973.4880193174995</v>
      </c>
      <c r="J65" s="105">
        <f t="shared" si="58"/>
        <v>10222.825219800437</v>
      </c>
      <c r="K65" s="105">
        <f t="shared" si="58"/>
        <v>10478.395850295445</v>
      </c>
      <c r="L65" s="105">
        <f t="shared" si="58"/>
        <v>10740.355746552834</v>
      </c>
      <c r="M65" s="105">
        <f t="shared" si="58"/>
        <v>11008.864640216652</v>
      </c>
      <c r="N65" s="105">
        <f t="shared" si="58"/>
        <v>11284.086256222072</v>
      </c>
      <c r="O65" s="105">
        <f t="shared" si="58"/>
        <v>11566.188412627622</v>
      </c>
    </row>
    <row r="68" spans="1:15" x14ac:dyDescent="0.25">
      <c r="A68" s="69"/>
      <c r="B68" s="69"/>
    </row>
  </sheetData>
  <mergeCells count="13">
    <mergeCell ref="D1:D2"/>
    <mergeCell ref="B41:C41"/>
    <mergeCell ref="E1:E2"/>
    <mergeCell ref="F1:G1"/>
    <mergeCell ref="A3:A8"/>
    <mergeCell ref="A9:A14"/>
    <mergeCell ref="A15:A20"/>
    <mergeCell ref="A65:B65"/>
    <mergeCell ref="B42:C42"/>
    <mergeCell ref="B40:C40"/>
    <mergeCell ref="B39:C39"/>
    <mergeCell ref="B1:B2"/>
    <mergeCell ref="C1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OSR tabela 6 </vt:lpstr>
      <vt:lpstr>Podsumowanie</vt:lpstr>
      <vt:lpstr>wynagrodzenia i koszty zatrudn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Ryszard Porębski</dc:creator>
  <cp:lastModifiedBy>as</cp:lastModifiedBy>
  <dcterms:created xsi:type="dcterms:W3CDTF">2025-03-06T21:23:23Z</dcterms:created>
  <dcterms:modified xsi:type="dcterms:W3CDTF">2026-04-16T12:54:06Z</dcterms:modified>
</cp:coreProperties>
</file>