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s\Desktop\"/>
    </mc:Choice>
  </mc:AlternateContent>
  <xr:revisionPtr revIDLastSave="0" documentId="8_{EEA8AF55-93CA-4975-A898-8490F21A1E27}" xr6:coauthVersionLast="36" xr6:coauthVersionMax="36" xr10:uidLastSave="{00000000-0000-0000-0000-000000000000}"/>
  <bookViews>
    <workbookView xWindow="0" yWindow="0" windowWidth="28800" windowHeight="12105" activeTab="3" xr2:uid="{00000000-000D-0000-FFFF-FFFF00000000}"/>
  </bookViews>
  <sheets>
    <sheet name="Tabelka" sheetId="1" r:id="rId1"/>
    <sheet name="Koszty osobowe" sheetId="2" r:id="rId2"/>
    <sheet name="Koszty pozostałe" sheetId="3" r:id="rId3"/>
    <sheet name="Panel kontrolny" sheetId="4" r:id="rId4"/>
    <sheet name="Koszty dla przedsiębiorców+JST" sheetId="6" r:id="rId5"/>
    <sheet name="Dane źródłowe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3" i="6" l="1"/>
  <c r="D5" i="3" l="1"/>
  <c r="AM4" i="4" l="1"/>
  <c r="AM5" i="4" s="1"/>
  <c r="D13" i="6"/>
  <c r="E13" i="6" s="1"/>
  <c r="F13" i="6" s="1"/>
  <c r="G13" i="6" s="1"/>
  <c r="H13" i="6" s="1"/>
  <c r="I13" i="6" s="1"/>
  <c r="J13" i="6" s="1"/>
  <c r="K13" i="6" s="1"/>
  <c r="L13" i="6" s="1"/>
  <c r="M13" i="6" s="1"/>
  <c r="N13" i="6" s="1"/>
  <c r="O13" i="6" s="1"/>
  <c r="P13" i="6" s="1"/>
  <c r="C14" i="6" l="1"/>
  <c r="D14" i="6"/>
  <c r="Z55" i="2"/>
  <c r="Z51" i="2"/>
  <c r="Z50" i="2"/>
  <c r="Z49" i="2"/>
  <c r="R47" i="2"/>
  <c r="D46" i="2"/>
  <c r="D47" i="2" s="1"/>
  <c r="D48" i="2" s="1"/>
  <c r="D49" i="2" s="1"/>
  <c r="X45" i="2"/>
  <c r="S45" i="2"/>
  <c r="S47" i="2" s="1"/>
  <c r="S49" i="2" s="1"/>
  <c r="S51" i="2" s="1"/>
  <c r="S53" i="2" s="1"/>
  <c r="S55" i="2" s="1"/>
  <c r="P45" i="2"/>
  <c r="N45" i="2"/>
  <c r="M45" i="2"/>
  <c r="L45" i="2"/>
  <c r="G45" i="2"/>
  <c r="Q45" i="2"/>
  <c r="Q56" i="2" s="1"/>
  <c r="Z33" i="2"/>
  <c r="Z30" i="2"/>
  <c r="Z28" i="2"/>
  <c r="Z27" i="2"/>
  <c r="Z26" i="2"/>
  <c r="R25" i="2"/>
  <c r="R27" i="2" s="1"/>
  <c r="R29" i="2" s="1"/>
  <c r="R31" i="2" s="1"/>
  <c r="R33" i="2" s="1"/>
  <c r="Z25" i="2"/>
  <c r="Z24" i="2"/>
  <c r="Z23" i="2"/>
  <c r="Q23" i="2"/>
  <c r="Q34" i="2" s="1"/>
  <c r="N23" i="2"/>
  <c r="M23" i="2"/>
  <c r="L23" i="2"/>
  <c r="D23" i="2"/>
  <c r="D24" i="2" s="1"/>
  <c r="D25" i="2" s="1"/>
  <c r="D26" i="2" s="1"/>
  <c r="D27" i="2" s="1"/>
  <c r="D28" i="2" s="1"/>
  <c r="D29" i="2" s="1"/>
  <c r="D30" i="2" s="1"/>
  <c r="D31" i="2" s="1"/>
  <c r="D32" i="2" s="1"/>
  <c r="D33" i="2" s="1"/>
  <c r="G33" i="2" s="1"/>
  <c r="S23" i="2"/>
  <c r="S25" i="2" s="1"/>
  <c r="Z15" i="2"/>
  <c r="Z14" i="2"/>
  <c r="Z13" i="2"/>
  <c r="Z12" i="2"/>
  <c r="Z11" i="2"/>
  <c r="Z10" i="2"/>
  <c r="Z9" i="2"/>
  <c r="Z8" i="2"/>
  <c r="Z7" i="2"/>
  <c r="R7" i="2"/>
  <c r="Z6" i="2"/>
  <c r="D6" i="2"/>
  <c r="D7" i="2" s="1"/>
  <c r="D8" i="2" s="1"/>
  <c r="D9" i="2" s="1"/>
  <c r="Z5" i="2"/>
  <c r="S5" i="2"/>
  <c r="Q5" i="2"/>
  <c r="Q16" i="2" s="1"/>
  <c r="P5" i="2"/>
  <c r="N5" i="2"/>
  <c r="M5" i="2"/>
  <c r="L5" i="2"/>
  <c r="G5" i="2"/>
  <c r="R56" i="2" l="1"/>
  <c r="G6" i="2"/>
  <c r="G7" i="2"/>
  <c r="R49" i="2"/>
  <c r="R51" i="2" s="1"/>
  <c r="R53" i="2" s="1"/>
  <c r="R55" i="2" s="1"/>
  <c r="G24" i="2"/>
  <c r="K7" i="2"/>
  <c r="J6" i="2"/>
  <c r="I6" i="2"/>
  <c r="H6" i="2"/>
  <c r="R9" i="2"/>
  <c r="R11" i="2" s="1"/>
  <c r="R13" i="2" s="1"/>
  <c r="R15" i="2" s="1"/>
  <c r="T5" i="2"/>
  <c r="P6" i="2"/>
  <c r="D10" i="2"/>
  <c r="G9" i="2"/>
  <c r="R34" i="2"/>
  <c r="S7" i="2"/>
  <c r="S9" i="2" s="1"/>
  <c r="S11" i="2" s="1"/>
  <c r="S13" i="2" s="1"/>
  <c r="S15" i="2" s="1"/>
  <c r="G8" i="2"/>
  <c r="X5" i="2"/>
  <c r="K6" i="2"/>
  <c r="J5" i="2"/>
  <c r="I5" i="2"/>
  <c r="H5" i="2"/>
  <c r="AG5" i="2" s="1"/>
  <c r="H33" i="2"/>
  <c r="J33" i="2"/>
  <c r="I33" i="2"/>
  <c r="Y45" i="2"/>
  <c r="G49" i="2"/>
  <c r="D50" i="2"/>
  <c r="S27" i="2"/>
  <c r="S29" i="2" s="1"/>
  <c r="S31" i="2" s="1"/>
  <c r="S33" i="2" s="1"/>
  <c r="Z32" i="2"/>
  <c r="G32" i="2"/>
  <c r="J45" i="2"/>
  <c r="H45" i="2"/>
  <c r="AG45" i="2" s="1"/>
  <c r="K46" i="2"/>
  <c r="I45" i="2"/>
  <c r="H24" i="2"/>
  <c r="I24" i="2"/>
  <c r="K8" i="2"/>
  <c r="J24" i="2"/>
  <c r="K25" i="2"/>
  <c r="Z31" i="2"/>
  <c r="G31" i="2"/>
  <c r="H7" i="2"/>
  <c r="I7" i="2"/>
  <c r="J7" i="2"/>
  <c r="Z29" i="2"/>
  <c r="G29" i="2"/>
  <c r="Z52" i="2"/>
  <c r="G27" i="2"/>
  <c r="G30" i="2"/>
  <c r="G25" i="2"/>
  <c r="G26" i="2"/>
  <c r="G28" i="2"/>
  <c r="T45" i="2"/>
  <c r="G48" i="2"/>
  <c r="S56" i="2"/>
  <c r="P46" i="2"/>
  <c r="G46" i="2"/>
  <c r="Z53" i="2"/>
  <c r="Z45" i="2"/>
  <c r="Z46" i="2"/>
  <c r="Z54" i="2"/>
  <c r="G23" i="2"/>
  <c r="P23" i="2"/>
  <c r="G47" i="2"/>
  <c r="Z47" i="2"/>
  <c r="Z48" i="2"/>
  <c r="S16" i="2" l="1"/>
  <c r="R16" i="2"/>
  <c r="J30" i="2"/>
  <c r="H30" i="2"/>
  <c r="K31" i="2"/>
  <c r="I30" i="2"/>
  <c r="J31" i="2"/>
  <c r="H31" i="2"/>
  <c r="K32" i="2"/>
  <c r="X32" i="2" s="1"/>
  <c r="I31" i="2"/>
  <c r="AG6" i="2"/>
  <c r="J27" i="2"/>
  <c r="K28" i="2"/>
  <c r="X28" i="2" s="1"/>
  <c r="I27" i="2"/>
  <c r="H27" i="2"/>
  <c r="K49" i="2"/>
  <c r="X49" i="2" s="1"/>
  <c r="J48" i="2"/>
  <c r="H48" i="2"/>
  <c r="I48" i="2"/>
  <c r="K10" i="2"/>
  <c r="I9" i="2"/>
  <c r="H9" i="2"/>
  <c r="J9" i="2"/>
  <c r="P24" i="2"/>
  <c r="T23" i="2"/>
  <c r="T46" i="2"/>
  <c r="P47" i="2"/>
  <c r="I23" i="2"/>
  <c r="O23" i="2" s="1"/>
  <c r="X23" i="2"/>
  <c r="J23" i="2"/>
  <c r="H23" i="2"/>
  <c r="AG23" i="2" s="1"/>
  <c r="G34" i="2"/>
  <c r="K24" i="2"/>
  <c r="J28" i="2"/>
  <c r="H28" i="2"/>
  <c r="K29" i="2"/>
  <c r="X29" i="2" s="1"/>
  <c r="I28" i="2"/>
  <c r="J29" i="2"/>
  <c r="H29" i="2"/>
  <c r="K30" i="2"/>
  <c r="X30" i="2" s="1"/>
  <c r="I29" i="2"/>
  <c r="N25" i="2"/>
  <c r="L25" i="2"/>
  <c r="M25" i="2"/>
  <c r="AE45" i="2"/>
  <c r="S34" i="2"/>
  <c r="M6" i="2"/>
  <c r="L6" i="2"/>
  <c r="N6" i="2"/>
  <c r="D11" i="2"/>
  <c r="G10" i="2"/>
  <c r="O5" i="2"/>
  <c r="U5" i="2" s="1"/>
  <c r="J26" i="2"/>
  <c r="K27" i="2"/>
  <c r="I26" i="2"/>
  <c r="H26" i="2"/>
  <c r="M46" i="2"/>
  <c r="N46" i="2"/>
  <c r="L46" i="2"/>
  <c r="Y5" i="2"/>
  <c r="AA5" i="2" s="1"/>
  <c r="AB5" i="2" s="1"/>
  <c r="AC5" i="2" s="1"/>
  <c r="AD5" i="2" s="1"/>
  <c r="AF5" i="2"/>
  <c r="T6" i="2"/>
  <c r="P7" i="2"/>
  <c r="H32" i="2"/>
  <c r="K33" i="2"/>
  <c r="J32" i="2"/>
  <c r="I32" i="2"/>
  <c r="H25" i="2"/>
  <c r="J25" i="2"/>
  <c r="X25" i="2"/>
  <c r="I25" i="2"/>
  <c r="O25" i="2"/>
  <c r="K26" i="2"/>
  <c r="X26" i="2" s="1"/>
  <c r="M8" i="2"/>
  <c r="L8" i="2"/>
  <c r="N8" i="2"/>
  <c r="O45" i="2"/>
  <c r="U45" i="2" s="1"/>
  <c r="D51" i="2"/>
  <c r="G50" i="2"/>
  <c r="N7" i="2"/>
  <c r="M7" i="2"/>
  <c r="L7" i="2"/>
  <c r="O7" i="2" s="1"/>
  <c r="AA45" i="2"/>
  <c r="AB45" i="2" s="1"/>
  <c r="AC45" i="2" s="1"/>
  <c r="AD45" i="2" s="1"/>
  <c r="AF45" i="2"/>
  <c r="I47" i="2"/>
  <c r="K48" i="2"/>
  <c r="H47" i="2"/>
  <c r="J47" i="2"/>
  <c r="I46" i="2"/>
  <c r="K47" i="2"/>
  <c r="X47" i="2" s="1"/>
  <c r="H46" i="2"/>
  <c r="AG46" i="2" s="1"/>
  <c r="X46" i="2"/>
  <c r="J46" i="2"/>
  <c r="X7" i="2"/>
  <c r="K50" i="2"/>
  <c r="J49" i="2"/>
  <c r="I49" i="2"/>
  <c r="H49" i="2"/>
  <c r="X8" i="2"/>
  <c r="K9" i="2"/>
  <c r="J8" i="2"/>
  <c r="I8" i="2"/>
  <c r="H8" i="2"/>
  <c r="AG8" i="2" s="1"/>
  <c r="X6" i="2"/>
  <c r="O6" i="2" l="1"/>
  <c r="U6" i="2" s="1"/>
  <c r="Y49" i="2"/>
  <c r="AA49" i="2" s="1"/>
  <c r="AB49" i="2" s="1"/>
  <c r="AC49" i="2" s="1"/>
  <c r="AD49" i="2" s="1"/>
  <c r="Y25" i="2"/>
  <c r="AA25" i="2" s="1"/>
  <c r="AB25" i="2" s="1"/>
  <c r="AC25" i="2" s="1"/>
  <c r="AD25" i="2" s="1"/>
  <c r="N27" i="2"/>
  <c r="L27" i="2"/>
  <c r="AG27" i="2" s="1"/>
  <c r="M27" i="2"/>
  <c r="Y28" i="2"/>
  <c r="AA28" i="2" s="1"/>
  <c r="AB28" i="2" s="1"/>
  <c r="AC28" i="2" s="1"/>
  <c r="AD28" i="2" s="1"/>
  <c r="AF28" i="2"/>
  <c r="U23" i="2"/>
  <c r="P25" i="2"/>
  <c r="T24" i="2"/>
  <c r="X9" i="2"/>
  <c r="Y7" i="2"/>
  <c r="AE7" i="2" s="1"/>
  <c r="D12" i="2"/>
  <c r="G11" i="2"/>
  <c r="Y30" i="2"/>
  <c r="AF30" i="2" s="1"/>
  <c r="AG25" i="2"/>
  <c r="AG7" i="2"/>
  <c r="N31" i="2"/>
  <c r="M31" i="2"/>
  <c r="L31" i="2"/>
  <c r="O31" i="2" s="1"/>
  <c r="Y46" i="2"/>
  <c r="AF46" i="2" s="1"/>
  <c r="AA46" i="2"/>
  <c r="AB46" i="2" s="1"/>
  <c r="AC46" i="2" s="1"/>
  <c r="AD46" i="2" s="1"/>
  <c r="M50" i="2"/>
  <c r="N50" i="2"/>
  <c r="L50" i="2"/>
  <c r="M47" i="2"/>
  <c r="L47" i="2"/>
  <c r="AG47" i="2" s="1"/>
  <c r="N47" i="2"/>
  <c r="AE47" i="2"/>
  <c r="T7" i="2"/>
  <c r="U7" i="2" s="1"/>
  <c r="P8" i="2"/>
  <c r="Y29" i="2"/>
  <c r="AA29" i="2" s="1"/>
  <c r="AB29" i="2" s="1"/>
  <c r="AC29" i="2" s="1"/>
  <c r="AD29" i="2" s="1"/>
  <c r="AF29" i="2"/>
  <c r="L29" i="2"/>
  <c r="AG29" i="2" s="1"/>
  <c r="M29" i="2"/>
  <c r="AE29" i="2" s="1"/>
  <c r="N29" i="2"/>
  <c r="X31" i="2"/>
  <c r="Y47" i="2"/>
  <c r="AF47" i="2" s="1"/>
  <c r="H34" i="2"/>
  <c r="J34" i="2"/>
  <c r="I34" i="2"/>
  <c r="M49" i="2"/>
  <c r="AE49" i="2" s="1"/>
  <c r="N49" i="2"/>
  <c r="L49" i="2"/>
  <c r="AG49" i="2" s="1"/>
  <c r="M48" i="2"/>
  <c r="L48" i="2"/>
  <c r="O48" i="2" s="1"/>
  <c r="N48" i="2"/>
  <c r="O8" i="2"/>
  <c r="N9" i="2"/>
  <c r="M9" i="2"/>
  <c r="L9" i="2"/>
  <c r="O9" i="2" s="1"/>
  <c r="O46" i="2"/>
  <c r="U46" i="2" s="1"/>
  <c r="Y32" i="2"/>
  <c r="AE32" i="2" s="1"/>
  <c r="AG28" i="2"/>
  <c r="Y23" i="2"/>
  <c r="AF23" i="2"/>
  <c r="X27" i="2"/>
  <c r="N32" i="2"/>
  <c r="L32" i="2"/>
  <c r="M32" i="2"/>
  <c r="Y6" i="2"/>
  <c r="AE6" i="2" s="1"/>
  <c r="AF6" i="2"/>
  <c r="AA6" i="2"/>
  <c r="AB6" i="2" s="1"/>
  <c r="AC6" i="2" s="1"/>
  <c r="AD6" i="2" s="1"/>
  <c r="K51" i="2"/>
  <c r="X50" i="2"/>
  <c r="I50" i="2"/>
  <c r="H50" i="2"/>
  <c r="AG50" i="2" s="1"/>
  <c r="J50" i="2"/>
  <c r="D52" i="2"/>
  <c r="G51" i="2"/>
  <c r="M10" i="2"/>
  <c r="L10" i="2"/>
  <c r="N10" i="2"/>
  <c r="Y8" i="2"/>
  <c r="AE8" i="2" s="1"/>
  <c r="AF8" i="2"/>
  <c r="AA8" i="2"/>
  <c r="AB8" i="2" s="1"/>
  <c r="AC8" i="2" s="1"/>
  <c r="AD8" i="2" s="1"/>
  <c r="N26" i="2"/>
  <c r="L26" i="2"/>
  <c r="M26" i="2"/>
  <c r="N30" i="2"/>
  <c r="L30" i="2"/>
  <c r="AG30" i="2" s="1"/>
  <c r="M30" i="2"/>
  <c r="AE30" i="2" s="1"/>
  <c r="AE23" i="2"/>
  <c r="Y26" i="2"/>
  <c r="AA26" i="2" s="1"/>
  <c r="AB26" i="2" s="1"/>
  <c r="AC26" i="2" s="1"/>
  <c r="AD26" i="2" s="1"/>
  <c r="AF26" i="2"/>
  <c r="X10" i="2"/>
  <c r="K11" i="2"/>
  <c r="J10" i="2"/>
  <c r="I10" i="2"/>
  <c r="H10" i="2"/>
  <c r="T47" i="2"/>
  <c r="P48" i="2"/>
  <c r="AG9" i="2"/>
  <c r="L28" i="2"/>
  <c r="N28" i="2"/>
  <c r="M28" i="2"/>
  <c r="AE28" i="2" s="1"/>
  <c r="AE25" i="2"/>
  <c r="N33" i="2"/>
  <c r="L33" i="2"/>
  <c r="AG33" i="2" s="1"/>
  <c r="M33" i="2"/>
  <c r="X33" i="2"/>
  <c r="N24" i="2"/>
  <c r="L24" i="2"/>
  <c r="AG24" i="2" s="1"/>
  <c r="K34" i="2"/>
  <c r="M24" i="2"/>
  <c r="X24" i="2"/>
  <c r="X48" i="2"/>
  <c r="O30" i="2"/>
  <c r="AE5" i="2"/>
  <c r="AF32" i="2" l="1"/>
  <c r="AG48" i="2"/>
  <c r="O26" i="2"/>
  <c r="AA30" i="2"/>
  <c r="AB30" i="2" s="1"/>
  <c r="AC30" i="2" s="1"/>
  <c r="AD30" i="2" s="1"/>
  <c r="AA32" i="2"/>
  <c r="AB32" i="2" s="1"/>
  <c r="AC32" i="2" s="1"/>
  <c r="AD32" i="2" s="1"/>
  <c r="AA47" i="2"/>
  <c r="AB47" i="2" s="1"/>
  <c r="AC47" i="2" s="1"/>
  <c r="AD47" i="2" s="1"/>
  <c r="O27" i="2"/>
  <c r="AE26" i="2"/>
  <c r="AA7" i="2"/>
  <c r="AB7" i="2" s="1"/>
  <c r="AC7" i="2" s="1"/>
  <c r="AD7" i="2" s="1"/>
  <c r="O32" i="2"/>
  <c r="AF7" i="2"/>
  <c r="U48" i="2"/>
  <c r="O34" i="2"/>
  <c r="Y9" i="2"/>
  <c r="AA9" i="2" s="1"/>
  <c r="AB9" i="2" s="1"/>
  <c r="AC9" i="2" s="1"/>
  <c r="AD9" i="2" s="1"/>
  <c r="AF9" i="2"/>
  <c r="Y10" i="2"/>
  <c r="AF10" i="2" s="1"/>
  <c r="AE46" i="2"/>
  <c r="K52" i="2"/>
  <c r="X51" i="2"/>
  <c r="I51" i="2"/>
  <c r="H51" i="2"/>
  <c r="J51" i="2"/>
  <c r="M51" i="2"/>
  <c r="L51" i="2"/>
  <c r="O51" i="2" s="1"/>
  <c r="N51" i="2"/>
  <c r="D13" i="2"/>
  <c r="G12" i="2"/>
  <c r="AF25" i="2"/>
  <c r="O33" i="2"/>
  <c r="AF49" i="2"/>
  <c r="T48" i="2"/>
  <c r="P49" i="2"/>
  <c r="Y27" i="2"/>
  <c r="AE27" i="2" s="1"/>
  <c r="AG32" i="2"/>
  <c r="O29" i="2"/>
  <c r="D53" i="2"/>
  <c r="G52" i="2"/>
  <c r="Y31" i="2"/>
  <c r="AE31" i="2" s="1"/>
  <c r="AF31" i="2"/>
  <c r="T8" i="2"/>
  <c r="U8" i="2" s="1"/>
  <c r="P9" i="2"/>
  <c r="N34" i="2"/>
  <c r="L34" i="2"/>
  <c r="M34" i="2"/>
  <c r="Y50" i="2"/>
  <c r="AE50" i="2" s="1"/>
  <c r="T25" i="2"/>
  <c r="U25" i="2" s="1"/>
  <c r="P26" i="2"/>
  <c r="AG26" i="2"/>
  <c r="O24" i="2"/>
  <c r="U24" i="2" s="1"/>
  <c r="AG10" i="2"/>
  <c r="AA23" i="2"/>
  <c r="AB23" i="2" s="1"/>
  <c r="AC23" i="2" s="1"/>
  <c r="AD23" i="2" s="1"/>
  <c r="O49" i="2"/>
  <c r="N11" i="2"/>
  <c r="M11" i="2"/>
  <c r="L11" i="2"/>
  <c r="X11" i="2"/>
  <c r="K12" i="2"/>
  <c r="J11" i="2"/>
  <c r="I11" i="2"/>
  <c r="H11" i="2"/>
  <c r="Y48" i="2"/>
  <c r="AE48" i="2" s="1"/>
  <c r="Y24" i="2"/>
  <c r="AE24" i="2" s="1"/>
  <c r="AF24" i="2"/>
  <c r="Y33" i="2"/>
  <c r="AA33" i="2" s="1"/>
  <c r="AB33" i="2" s="1"/>
  <c r="AC33" i="2" s="1"/>
  <c r="AD33" i="2" s="1"/>
  <c r="AF33" i="2"/>
  <c r="O28" i="2"/>
  <c r="O10" i="2"/>
  <c r="AG31" i="2"/>
  <c r="AG34" i="2" s="1"/>
  <c r="O50" i="2"/>
  <c r="X34" i="2"/>
  <c r="O47" i="2"/>
  <c r="U47" i="2" s="1"/>
  <c r="AA27" i="2" l="1"/>
  <c r="AB27" i="2" s="1"/>
  <c r="AC27" i="2" s="1"/>
  <c r="AD27" i="2" s="1"/>
  <c r="AG51" i="2"/>
  <c r="O11" i="2"/>
  <c r="D14" i="2"/>
  <c r="G13" i="2"/>
  <c r="AF50" i="2"/>
  <c r="N52" i="2"/>
  <c r="M52" i="2"/>
  <c r="L52" i="2"/>
  <c r="AA24" i="2"/>
  <c r="AB24" i="2" s="1"/>
  <c r="AC24" i="2" s="1"/>
  <c r="AD24" i="2" s="1"/>
  <c r="K53" i="2"/>
  <c r="X52" i="2"/>
  <c r="I52" i="2"/>
  <c r="J52" i="2"/>
  <c r="H52" i="2"/>
  <c r="Y51" i="2"/>
  <c r="AF51" i="2" s="1"/>
  <c r="AA48" i="2"/>
  <c r="AB48" i="2" s="1"/>
  <c r="AC48" i="2" s="1"/>
  <c r="AD48" i="2" s="1"/>
  <c r="AF48" i="2"/>
  <c r="T49" i="2"/>
  <c r="P50" i="2"/>
  <c r="AE10" i="2"/>
  <c r="AE9" i="2"/>
  <c r="AE51" i="2"/>
  <c r="M12" i="2"/>
  <c r="L12" i="2"/>
  <c r="N12" i="2"/>
  <c r="D54" i="2"/>
  <c r="G53" i="2"/>
  <c r="Y11" i="2"/>
  <c r="AE11" i="2" s="1"/>
  <c r="AF11" i="2"/>
  <c r="AA11" i="2"/>
  <c r="AB11" i="2" s="1"/>
  <c r="AC11" i="2" s="1"/>
  <c r="AD11" i="2" s="1"/>
  <c r="AA31" i="2"/>
  <c r="AB31" i="2" s="1"/>
  <c r="AC31" i="2" s="1"/>
  <c r="AD31" i="2" s="1"/>
  <c r="AA10" i="2"/>
  <c r="AB10" i="2" s="1"/>
  <c r="AC10" i="2" s="1"/>
  <c r="AD10" i="2" s="1"/>
  <c r="AE33" i="2"/>
  <c r="AE34" i="2" s="1"/>
  <c r="U49" i="2"/>
  <c r="T9" i="2"/>
  <c r="U9" i="2" s="1"/>
  <c r="P10" i="2"/>
  <c r="X12" i="2"/>
  <c r="J12" i="2"/>
  <c r="I12" i="2"/>
  <c r="K13" i="2"/>
  <c r="H12" i="2"/>
  <c r="AG12" i="2" s="1"/>
  <c r="AA50" i="2"/>
  <c r="AB50" i="2" s="1"/>
  <c r="AC50" i="2" s="1"/>
  <c r="AD50" i="2" s="1"/>
  <c r="AG11" i="2"/>
  <c r="T26" i="2"/>
  <c r="U26" i="2" s="1"/>
  <c r="P27" i="2"/>
  <c r="Y34" i="2"/>
  <c r="AF27" i="2"/>
  <c r="AF34" i="2" s="1"/>
  <c r="AD34" i="2" l="1"/>
  <c r="AG52" i="2"/>
  <c r="Y52" i="2"/>
  <c r="AE52" i="2" s="1"/>
  <c r="N53" i="2"/>
  <c r="M53" i="2"/>
  <c r="L53" i="2"/>
  <c r="AA51" i="2"/>
  <c r="AB51" i="2" s="1"/>
  <c r="AC51" i="2" s="1"/>
  <c r="AD51" i="2" s="1"/>
  <c r="I13" i="2"/>
  <c r="K14" i="2"/>
  <c r="X13" i="2"/>
  <c r="J13" i="2"/>
  <c r="H13" i="2"/>
  <c r="AG13" i="2" s="1"/>
  <c r="P28" i="2"/>
  <c r="T27" i="2"/>
  <c r="U27" i="2" s="1"/>
  <c r="T50" i="2"/>
  <c r="U50" i="2" s="1"/>
  <c r="P51" i="2"/>
  <c r="Y12" i="2"/>
  <c r="AF12" i="2" s="1"/>
  <c r="T10" i="2"/>
  <c r="U10" i="2" s="1"/>
  <c r="P11" i="2"/>
  <c r="I53" i="2"/>
  <c r="X53" i="2"/>
  <c r="J53" i="2"/>
  <c r="K54" i="2"/>
  <c r="H53" i="2"/>
  <c r="AG53" i="2" s="1"/>
  <c r="D15" i="2"/>
  <c r="G14" i="2"/>
  <c r="O12" i="2"/>
  <c r="D55" i="2"/>
  <c r="G55" i="2" s="1"/>
  <c r="G56" i="2" s="1"/>
  <c r="G54" i="2"/>
  <c r="N13" i="2"/>
  <c r="M13" i="2"/>
  <c r="L13" i="2"/>
  <c r="O52" i="2"/>
  <c r="G15" i="2" l="1"/>
  <c r="I56" i="2"/>
  <c r="H56" i="2"/>
  <c r="J56" i="2"/>
  <c r="O13" i="2"/>
  <c r="AA52" i="2"/>
  <c r="AB52" i="2" s="1"/>
  <c r="AC52" i="2" s="1"/>
  <c r="AD52" i="2" s="1"/>
  <c r="AF52" i="2"/>
  <c r="T51" i="2"/>
  <c r="U51" i="2" s="1"/>
  <c r="P52" i="2"/>
  <c r="AE13" i="2"/>
  <c r="I54" i="2"/>
  <c r="J54" i="2"/>
  <c r="H54" i="2"/>
  <c r="O54" i="2" s="1"/>
  <c r="K55" i="2"/>
  <c r="X54" i="2"/>
  <c r="AE12" i="2"/>
  <c r="H14" i="2"/>
  <c r="J14" i="2"/>
  <c r="X14" i="2"/>
  <c r="I14" i="2"/>
  <c r="K15" i="2"/>
  <c r="Y13" i="2"/>
  <c r="AA13" i="2" s="1"/>
  <c r="AB13" i="2" s="1"/>
  <c r="AC13" i="2" s="1"/>
  <c r="AD13" i="2" s="1"/>
  <c r="AF13" i="2"/>
  <c r="T11" i="2"/>
  <c r="U11" i="2" s="1"/>
  <c r="P12" i="2"/>
  <c r="M54" i="2"/>
  <c r="L54" i="2"/>
  <c r="N54" i="2"/>
  <c r="N14" i="2"/>
  <c r="M14" i="2"/>
  <c r="L14" i="2"/>
  <c r="I55" i="2"/>
  <c r="J55" i="2"/>
  <c r="H55" i="2"/>
  <c r="Y53" i="2"/>
  <c r="AE53" i="2" s="1"/>
  <c r="AF53" i="2"/>
  <c r="AA53" i="2"/>
  <c r="AB53" i="2" s="1"/>
  <c r="AC53" i="2" s="1"/>
  <c r="AD53" i="2" s="1"/>
  <c r="AA12" i="2"/>
  <c r="AB12" i="2" s="1"/>
  <c r="AC12" i="2" s="1"/>
  <c r="AD12" i="2" s="1"/>
  <c r="P29" i="2"/>
  <c r="T28" i="2"/>
  <c r="U28" i="2" s="1"/>
  <c r="O53" i="2"/>
  <c r="K56" i="2"/>
  <c r="O14" i="2" l="1"/>
  <c r="Y14" i="2"/>
  <c r="AA14" i="2" s="1"/>
  <c r="AB14" i="2" s="1"/>
  <c r="AC14" i="2" s="1"/>
  <c r="AD14" i="2" s="1"/>
  <c r="AF14" i="2"/>
  <c r="M56" i="2"/>
  <c r="L56" i="2"/>
  <c r="N56" i="2"/>
  <c r="Y54" i="2"/>
  <c r="AE54" i="2" s="1"/>
  <c r="AA54" i="2"/>
  <c r="AB54" i="2" s="1"/>
  <c r="AC54" i="2" s="1"/>
  <c r="AD54" i="2" s="1"/>
  <c r="AF54" i="2"/>
  <c r="H15" i="2"/>
  <c r="J15" i="2"/>
  <c r="I15" i="2"/>
  <c r="X15" i="2"/>
  <c r="X16" i="2" s="1"/>
  <c r="G16" i="2"/>
  <c r="AG14" i="2"/>
  <c r="T52" i="2"/>
  <c r="U52" i="2" s="1"/>
  <c r="P53" i="2"/>
  <c r="N15" i="2"/>
  <c r="L15" i="2"/>
  <c r="M15" i="2"/>
  <c r="K16" i="2"/>
  <c r="M55" i="2"/>
  <c r="L55" i="2"/>
  <c r="AG55" i="2" s="1"/>
  <c r="N55" i="2"/>
  <c r="O55" i="2" s="1"/>
  <c r="X55" i="2"/>
  <c r="AG54" i="2"/>
  <c r="P30" i="2"/>
  <c r="T29" i="2"/>
  <c r="U29" i="2" s="1"/>
  <c r="P13" i="2"/>
  <c r="T12" i="2"/>
  <c r="U12" i="2" s="1"/>
  <c r="AE14" i="2"/>
  <c r="O56" i="2" l="1"/>
  <c r="P31" i="2"/>
  <c r="T30" i="2"/>
  <c r="U30" i="2" s="1"/>
  <c r="N16" i="2"/>
  <c r="L16" i="2"/>
  <c r="M16" i="2"/>
  <c r="H16" i="2"/>
  <c r="I16" i="2"/>
  <c r="J16" i="2"/>
  <c r="O16" i="2" s="1"/>
  <c r="AE15" i="2"/>
  <c r="AE16" i="2" s="1"/>
  <c r="AA55" i="2"/>
  <c r="AB55" i="2" s="1"/>
  <c r="AC55" i="2" s="1"/>
  <c r="AD55" i="2" s="1"/>
  <c r="AD56" i="2" s="1"/>
  <c r="Y55" i="2"/>
  <c r="AF55" i="2" s="1"/>
  <c r="AF56" i="2" s="1"/>
  <c r="X56" i="2"/>
  <c r="Y15" i="2"/>
  <c r="Y16" i="2" s="1"/>
  <c r="AF15" i="2"/>
  <c r="AF16" i="2" s="1"/>
  <c r="T53" i="2"/>
  <c r="U53" i="2" s="1"/>
  <c r="P54" i="2"/>
  <c r="P14" i="2"/>
  <c r="T13" i="2"/>
  <c r="U13" i="2" s="1"/>
  <c r="O15" i="2"/>
  <c r="AG56" i="2"/>
  <c r="AG15" i="2"/>
  <c r="AG16" i="2" s="1"/>
  <c r="T54" i="2" l="1"/>
  <c r="U54" i="2" s="1"/>
  <c r="P55" i="2"/>
  <c r="P15" i="2"/>
  <c r="T14" i="2"/>
  <c r="U14" i="2" s="1"/>
  <c r="P32" i="2"/>
  <c r="T31" i="2"/>
  <c r="U31" i="2" s="1"/>
  <c r="AA15" i="2"/>
  <c r="AB15" i="2" s="1"/>
  <c r="AC15" i="2" s="1"/>
  <c r="AD15" i="2" s="1"/>
  <c r="AD16" i="2" s="1"/>
  <c r="Y56" i="2"/>
  <c r="AE55" i="2"/>
  <c r="AE56" i="2" s="1"/>
  <c r="P33" i="2" l="1"/>
  <c r="T32" i="2"/>
  <c r="U32" i="2" s="1"/>
  <c r="T15" i="2"/>
  <c r="U15" i="2" s="1"/>
  <c r="P16" i="2"/>
  <c r="T16" i="2" s="1"/>
  <c r="U16" i="2" s="1"/>
  <c r="AJ3" i="2" s="1" a="1"/>
  <c r="T55" i="2"/>
  <c r="U55" i="2" s="1"/>
  <c r="P56" i="2"/>
  <c r="T56" i="2" s="1"/>
  <c r="U56" i="2" s="1"/>
  <c r="BP3" i="2" s="1" a="1"/>
  <c r="CB21" i="2" l="1"/>
  <c r="BT21" i="2"/>
  <c r="BZ20" i="2"/>
  <c r="BR20" i="2"/>
  <c r="BX19" i="2"/>
  <c r="BP19" i="2"/>
  <c r="BV18" i="2"/>
  <c r="CB17" i="2"/>
  <c r="BT17" i="2"/>
  <c r="BZ16" i="2"/>
  <c r="BR16" i="2"/>
  <c r="BX15" i="2"/>
  <c r="BP15" i="2"/>
  <c r="BV14" i="2"/>
  <c r="CB13" i="2"/>
  <c r="BT13" i="2"/>
  <c r="CA21" i="2"/>
  <c r="BS21" i="2"/>
  <c r="BY20" i="2"/>
  <c r="BQ20" i="2"/>
  <c r="BW19" i="2"/>
  <c r="BZ21" i="2"/>
  <c r="BR21" i="2"/>
  <c r="BX20" i="2"/>
  <c r="BP20" i="2"/>
  <c r="BV19" i="2"/>
  <c r="CB18" i="2"/>
  <c r="BT18" i="2"/>
  <c r="BZ17" i="2"/>
  <c r="BR17" i="2"/>
  <c r="BX16" i="2"/>
  <c r="BP16" i="2"/>
  <c r="BV15" i="2"/>
  <c r="CB14" i="2"/>
  <c r="BT14" i="2"/>
  <c r="BY21" i="2"/>
  <c r="BQ21" i="2"/>
  <c r="BW20" i="2"/>
  <c r="CC19" i="2"/>
  <c r="BU19" i="2"/>
  <c r="CA18" i="2"/>
  <c r="BS18" i="2"/>
  <c r="BY17" i="2"/>
  <c r="BQ17" i="2"/>
  <c r="BW16" i="2"/>
  <c r="CC15" i="2"/>
  <c r="BU15" i="2"/>
  <c r="CA14" i="2"/>
  <c r="BS14" i="2"/>
  <c r="BX21" i="2"/>
  <c r="BV20" i="2"/>
  <c r="BT19" i="2"/>
  <c r="BW18" i="2"/>
  <c r="BW17" i="2"/>
  <c r="BY16" i="2"/>
  <c r="BZ15" i="2"/>
  <c r="BZ14" i="2"/>
  <c r="CC13" i="2"/>
  <c r="BS13" i="2"/>
  <c r="BY12" i="2"/>
  <c r="BQ12" i="2"/>
  <c r="BW11" i="2"/>
  <c r="CC10" i="2"/>
  <c r="BU10" i="2"/>
  <c r="CA9" i="2"/>
  <c r="BS9" i="2"/>
  <c r="BY8" i="2"/>
  <c r="BQ8" i="2"/>
  <c r="BW7" i="2"/>
  <c r="CC6" i="2"/>
  <c r="BU6" i="2"/>
  <c r="CA5" i="2"/>
  <c r="BS5" i="2"/>
  <c r="BY4" i="2"/>
  <c r="BQ4" i="2"/>
  <c r="BW3" i="2"/>
  <c r="BW21" i="2"/>
  <c r="BU20" i="2"/>
  <c r="BS19" i="2"/>
  <c r="BU18" i="2"/>
  <c r="BV17" i="2"/>
  <c r="BV16" i="2"/>
  <c r="BY15" i="2"/>
  <c r="BY14" i="2"/>
  <c r="CA13" i="2"/>
  <c r="BR13" i="2"/>
  <c r="BX12" i="2"/>
  <c r="BP12" i="2"/>
  <c r="BV11" i="2"/>
  <c r="CB10" i="2"/>
  <c r="BT10" i="2"/>
  <c r="BZ9" i="2"/>
  <c r="BR9" i="2"/>
  <c r="BX8" i="2"/>
  <c r="BP8" i="2"/>
  <c r="BV7" i="2"/>
  <c r="CB6" i="2"/>
  <c r="BT6" i="2"/>
  <c r="BZ5" i="2"/>
  <c r="BR5" i="2"/>
  <c r="BX4" i="2"/>
  <c r="BP4" i="2"/>
  <c r="BV3" i="2"/>
  <c r="BV21" i="2"/>
  <c r="BT20" i="2"/>
  <c r="BR19" i="2"/>
  <c r="BR18" i="2"/>
  <c r="BU17" i="2"/>
  <c r="BU16" i="2"/>
  <c r="BW15" i="2"/>
  <c r="BX14" i="2"/>
  <c r="BZ13" i="2"/>
  <c r="BQ13" i="2"/>
  <c r="BW12" i="2"/>
  <c r="CC11" i="2"/>
  <c r="BU11" i="2"/>
  <c r="CA10" i="2"/>
  <c r="BS10" i="2"/>
  <c r="BY9" i="2"/>
  <c r="BQ9" i="2"/>
  <c r="BW8" i="2"/>
  <c r="CC7" i="2"/>
  <c r="BU7" i="2"/>
  <c r="CA6" i="2"/>
  <c r="BS6" i="2"/>
  <c r="BY5" i="2"/>
  <c r="BQ5" i="2"/>
  <c r="BW4" i="2"/>
  <c r="CC3" i="2"/>
  <c r="BU3" i="2"/>
  <c r="BU21" i="2"/>
  <c r="BS20" i="2"/>
  <c r="BQ19" i="2"/>
  <c r="BQ18" i="2"/>
  <c r="BS17" i="2"/>
  <c r="BT16" i="2"/>
  <c r="BT15" i="2"/>
  <c r="BW14" i="2"/>
  <c r="BP21" i="2"/>
  <c r="CB19" i="2"/>
  <c r="CC18" i="2"/>
  <c r="BP18" i="2"/>
  <c r="BP17" i="2"/>
  <c r="BS16" i="2"/>
  <c r="BS15" i="2"/>
  <c r="BU14" i="2"/>
  <c r="BY19" i="2"/>
  <c r="CB16" i="2"/>
  <c r="BR14" i="2"/>
  <c r="BP13" i="2"/>
  <c r="BS12" i="2"/>
  <c r="BS11" i="2"/>
  <c r="BV10" i="2"/>
  <c r="BV9" i="2"/>
  <c r="BV8" i="2"/>
  <c r="BY7" i="2"/>
  <c r="BY6" i="2"/>
  <c r="CB5" i="2"/>
  <c r="CB4" i="2"/>
  <c r="CB3" i="2"/>
  <c r="BQ3" i="2"/>
  <c r="BZ18" i="2"/>
  <c r="CA16" i="2"/>
  <c r="BQ14" i="2"/>
  <c r="CC12" i="2"/>
  <c r="BR12" i="2"/>
  <c r="CC21" i="2"/>
  <c r="BY18" i="2"/>
  <c r="BQ16" i="2"/>
  <c r="BP14" i="2"/>
  <c r="CB12" i="2"/>
  <c r="CB11" i="2"/>
  <c r="BQ11" i="2"/>
  <c r="BQ10" i="2"/>
  <c r="BT9" i="2"/>
  <c r="BT8" i="2"/>
  <c r="BT7" i="2"/>
  <c r="BW6" i="2"/>
  <c r="BW5" i="2"/>
  <c r="BZ4" i="2"/>
  <c r="BZ3" i="2"/>
  <c r="CC20" i="2"/>
  <c r="BX18" i="2"/>
  <c r="CB15" i="2"/>
  <c r="BY13" i="2"/>
  <c r="CA12" i="2"/>
  <c r="CA11" i="2"/>
  <c r="BP11" i="2"/>
  <c r="BP10" i="2"/>
  <c r="BP9" i="2"/>
  <c r="BS8" i="2"/>
  <c r="BS7" i="2"/>
  <c r="BV6" i="2"/>
  <c r="BV5" i="2"/>
  <c r="BV4" i="2"/>
  <c r="BY3" i="2"/>
  <c r="CB20" i="2"/>
  <c r="CC17" i="2"/>
  <c r="CA15" i="2"/>
  <c r="BX13" i="2"/>
  <c r="BZ12" i="2"/>
  <c r="BZ11" i="2"/>
  <c r="BZ10" i="2"/>
  <c r="CC9" i="2"/>
  <c r="CC8" i="2"/>
  <c r="BR8" i="2"/>
  <c r="BR7" i="2"/>
  <c r="BR6" i="2"/>
  <c r="BU5" i="2"/>
  <c r="BU4" i="2"/>
  <c r="BX3" i="2"/>
  <c r="CA20" i="2"/>
  <c r="CA17" i="2"/>
  <c r="BR15" i="2"/>
  <c r="BW13" i="2"/>
  <c r="BV12" i="2"/>
  <c r="BY11" i="2"/>
  <c r="BY10" i="2"/>
  <c r="CB9" i="2"/>
  <c r="CB8" i="2"/>
  <c r="CB7" i="2"/>
  <c r="BQ7" i="2"/>
  <c r="BQ6" i="2"/>
  <c r="BT5" i="2"/>
  <c r="BT4" i="2"/>
  <c r="BT3" i="2"/>
  <c r="CC14" i="2"/>
  <c r="BX10" i="2"/>
  <c r="BU8" i="2"/>
  <c r="CC5" i="2"/>
  <c r="BS3" i="2"/>
  <c r="BV13" i="2"/>
  <c r="BW10" i="2"/>
  <c r="CA7" i="2"/>
  <c r="BX5" i="2"/>
  <c r="BR3" i="2"/>
  <c r="BZ19" i="2"/>
  <c r="BU13" i="2"/>
  <c r="BR10" i="2"/>
  <c r="BZ7" i="2"/>
  <c r="BP5" i="2"/>
  <c r="BP3" i="2"/>
  <c r="BW9" i="2"/>
  <c r="CA19" i="2"/>
  <c r="BU12" i="2"/>
  <c r="BX9" i="2"/>
  <c r="BX7" i="2"/>
  <c r="CC4" i="2"/>
  <c r="CA4" i="2"/>
  <c r="BX11" i="2"/>
  <c r="BZ6" i="2"/>
  <c r="BT12" i="2"/>
  <c r="BP7" i="2"/>
  <c r="BX17" i="2"/>
  <c r="BS4" i="2"/>
  <c r="BU9" i="2"/>
  <c r="CC16" i="2"/>
  <c r="CA8" i="2"/>
  <c r="BR11" i="2"/>
  <c r="BZ8" i="2"/>
  <c r="BX6" i="2"/>
  <c r="BP6" i="2"/>
  <c r="BT11" i="2"/>
  <c r="BR4" i="2"/>
  <c r="CA3" i="2"/>
  <c r="BQ15" i="2"/>
  <c r="AU21" i="2"/>
  <c r="AM21" i="2"/>
  <c r="AS20" i="2"/>
  <c r="AK20" i="2"/>
  <c r="AQ19" i="2"/>
  <c r="AW18" i="2"/>
  <c r="AO18" i="2"/>
  <c r="AU17" i="2"/>
  <c r="AM17" i="2"/>
  <c r="AS16" i="2"/>
  <c r="AK16" i="2"/>
  <c r="AQ15" i="2"/>
  <c r="AW14" i="2"/>
  <c r="AO14" i="2"/>
  <c r="AU13" i="2"/>
  <c r="AM13" i="2"/>
  <c r="AS12" i="2"/>
  <c r="AK12" i="2"/>
  <c r="AQ11" i="2"/>
  <c r="AW10" i="2"/>
  <c r="AO10" i="2"/>
  <c r="AU9" i="2"/>
  <c r="AM9" i="2"/>
  <c r="AS8" i="2"/>
  <c r="AK8" i="2"/>
  <c r="AQ7" i="2"/>
  <c r="AW6" i="2"/>
  <c r="AO6" i="2"/>
  <c r="AU5" i="2"/>
  <c r="AM5" i="2"/>
  <c r="AS4" i="2"/>
  <c r="AK4" i="2"/>
  <c r="AQ3" i="2"/>
  <c r="AS21" i="2"/>
  <c r="AK21" i="2"/>
  <c r="AQ20" i="2"/>
  <c r="AW19" i="2"/>
  <c r="AO19" i="2"/>
  <c r="AU18" i="2"/>
  <c r="AM18" i="2"/>
  <c r="AS17" i="2"/>
  <c r="AK17" i="2"/>
  <c r="AQ16" i="2"/>
  <c r="AW15" i="2"/>
  <c r="AO15" i="2"/>
  <c r="AU14" i="2"/>
  <c r="AM14" i="2"/>
  <c r="AS13" i="2"/>
  <c r="AK13" i="2"/>
  <c r="AQ12" i="2"/>
  <c r="AW11" i="2"/>
  <c r="AO11" i="2"/>
  <c r="AU10" i="2"/>
  <c r="AM10" i="2"/>
  <c r="AS9" i="2"/>
  <c r="AK9" i="2"/>
  <c r="AQ8" i="2"/>
  <c r="AW7" i="2"/>
  <c r="AO7" i="2"/>
  <c r="AU6" i="2"/>
  <c r="AM6" i="2"/>
  <c r="AS5" i="2"/>
  <c r="AK5" i="2"/>
  <c r="AQ4" i="2"/>
  <c r="AW3" i="2"/>
  <c r="AO3" i="2"/>
  <c r="AW20" i="2"/>
  <c r="AS18" i="2"/>
  <c r="AW16" i="2"/>
  <c r="AU15" i="2"/>
  <c r="AK14" i="2"/>
  <c r="AR21" i="2"/>
  <c r="AJ21" i="2"/>
  <c r="AP20" i="2"/>
  <c r="AV19" i="2"/>
  <c r="AN19" i="2"/>
  <c r="AT18" i="2"/>
  <c r="AL18" i="2"/>
  <c r="AR17" i="2"/>
  <c r="AJ17" i="2"/>
  <c r="AP16" i="2"/>
  <c r="AV15" i="2"/>
  <c r="AN15" i="2"/>
  <c r="AT14" i="2"/>
  <c r="AL14" i="2"/>
  <c r="AR13" i="2"/>
  <c r="AJ13" i="2"/>
  <c r="AP12" i="2"/>
  <c r="AV11" i="2"/>
  <c r="AN11" i="2"/>
  <c r="AT10" i="2"/>
  <c r="AL10" i="2"/>
  <c r="AR9" i="2"/>
  <c r="AJ9" i="2"/>
  <c r="AP8" i="2"/>
  <c r="AV7" i="2"/>
  <c r="AN7" i="2"/>
  <c r="AT6" i="2"/>
  <c r="AL6" i="2"/>
  <c r="AR5" i="2"/>
  <c r="AJ5" i="2"/>
  <c r="AP4" i="2"/>
  <c r="AV3" i="2"/>
  <c r="AN3" i="2"/>
  <c r="AQ21" i="2"/>
  <c r="AK18" i="2"/>
  <c r="AO16" i="2"/>
  <c r="AS14" i="2"/>
  <c r="AQ13" i="2"/>
  <c r="AO20" i="2"/>
  <c r="AU19" i="2"/>
  <c r="AM19" i="2"/>
  <c r="AQ17" i="2"/>
  <c r="AM15" i="2"/>
  <c r="AT21" i="2"/>
  <c r="AR20" i="2"/>
  <c r="AP19" i="2"/>
  <c r="AN18" i="2"/>
  <c r="AL17" i="2"/>
  <c r="AJ16" i="2"/>
  <c r="AV14" i="2"/>
  <c r="AT13" i="2"/>
  <c r="AT12" i="2"/>
  <c r="AT11" i="2"/>
  <c r="AV10" i="2"/>
  <c r="AW9" i="2"/>
  <c r="AW8" i="2"/>
  <c r="AL8" i="2"/>
  <c r="AL7" i="2"/>
  <c r="AN6" i="2"/>
  <c r="AO5" i="2"/>
  <c r="AO4" i="2"/>
  <c r="AR3" i="2"/>
  <c r="AP21" i="2"/>
  <c r="AN20" i="2"/>
  <c r="AL19" i="2"/>
  <c r="AJ18" i="2"/>
  <c r="AV16" i="2"/>
  <c r="AT15" i="2"/>
  <c r="AR14" i="2"/>
  <c r="AP13" i="2"/>
  <c r="AR12" i="2"/>
  <c r="AS11" i="2"/>
  <c r="AS10" i="2"/>
  <c r="AV9" i="2"/>
  <c r="AJ8" i="2"/>
  <c r="AK7" i="2"/>
  <c r="AK6" i="2"/>
  <c r="AN5" i="2"/>
  <c r="AN4" i="2"/>
  <c r="AP3" i="2"/>
  <c r="AR10" i="2"/>
  <c r="AU8" i="2"/>
  <c r="AJ7" i="2"/>
  <c r="AJ6" i="2"/>
  <c r="AM4" i="2"/>
  <c r="AM3" i="2"/>
  <c r="AJ20" i="2"/>
  <c r="AP15" i="2"/>
  <c r="AM11" i="2"/>
  <c r="AR8" i="2"/>
  <c r="AV4" i="2"/>
  <c r="AP17" i="2"/>
  <c r="AR7" i="2"/>
  <c r="AJ3" i="2"/>
  <c r="AV8" i="2"/>
  <c r="AS7" i="2"/>
  <c r="AJ4" i="2"/>
  <c r="AW12" i="2"/>
  <c r="AR6" i="2"/>
  <c r="AO21" i="2"/>
  <c r="AM20" i="2"/>
  <c r="AK19" i="2"/>
  <c r="AW17" i="2"/>
  <c r="AU16" i="2"/>
  <c r="AS15" i="2"/>
  <c r="AQ14" i="2"/>
  <c r="AO13" i="2"/>
  <c r="AO12" i="2"/>
  <c r="AR11" i="2"/>
  <c r="AT9" i="2"/>
  <c r="AU7" i="2"/>
  <c r="AL5" i="2"/>
  <c r="AT17" i="2"/>
  <c r="AM12" i="2"/>
  <c r="AS6" i="2"/>
  <c r="AL12" i="2"/>
  <c r="AN21" i="2"/>
  <c r="AL20" i="2"/>
  <c r="AJ19" i="2"/>
  <c r="AV17" i="2"/>
  <c r="AT16" i="2"/>
  <c r="AR15" i="2"/>
  <c r="AP14" i="2"/>
  <c r="AN13" i="2"/>
  <c r="AN12" i="2"/>
  <c r="AP11" i="2"/>
  <c r="AQ10" i="2"/>
  <c r="AQ9" i="2"/>
  <c r="AT8" i="2"/>
  <c r="AT7" i="2"/>
  <c r="AV6" i="2"/>
  <c r="AW5" i="2"/>
  <c r="AW4" i="2"/>
  <c r="AL4" i="2"/>
  <c r="AL3" i="2"/>
  <c r="AL21" i="2"/>
  <c r="AV18" i="2"/>
  <c r="AN14" i="2"/>
  <c r="AL13" i="2"/>
  <c r="AP10" i="2"/>
  <c r="AV5" i="2"/>
  <c r="AR18" i="2"/>
  <c r="AL15" i="2"/>
  <c r="AN10" i="2"/>
  <c r="AO8" i="2"/>
  <c r="AU4" i="2"/>
  <c r="AR16" i="2"/>
  <c r="AP9" i="2"/>
  <c r="AK3" i="2"/>
  <c r="AV20" i="2"/>
  <c r="AN16" i="2"/>
  <c r="AJ14" i="2"/>
  <c r="AL11" i="2"/>
  <c r="AO9" i="2"/>
  <c r="AT5" i="2"/>
  <c r="AU3" i="2"/>
  <c r="AT19" i="2"/>
  <c r="AW21" i="2"/>
  <c r="AO17" i="2"/>
  <c r="AV12" i="2"/>
  <c r="AN9" i="2"/>
  <c r="AQ5" i="2"/>
  <c r="AV21" i="2"/>
  <c r="AN17" i="2"/>
  <c r="AU12" i="2"/>
  <c r="AL9" i="2"/>
  <c r="AP5" i="2"/>
  <c r="AU20" i="2"/>
  <c r="AM16" i="2"/>
  <c r="AJ12" i="2"/>
  <c r="AN8" i="2"/>
  <c r="AT4" i="2"/>
  <c r="AT20" i="2"/>
  <c r="AL16" i="2"/>
  <c r="AU11" i="2"/>
  <c r="AM8" i="2"/>
  <c r="AR4" i="2"/>
  <c r="AJ15" i="2"/>
  <c r="AW13" i="2"/>
  <c r="AQ6" i="2"/>
  <c r="AS19" i="2"/>
  <c r="AK11" i="2"/>
  <c r="AP7" i="2"/>
  <c r="AJ11" i="2"/>
  <c r="AS3" i="2"/>
  <c r="AV13" i="2"/>
  <c r="AK15" i="2"/>
  <c r="AT3" i="2"/>
  <c r="AR19" i="2"/>
  <c r="AM7" i="2"/>
  <c r="AQ18" i="2"/>
  <c r="AK10" i="2"/>
  <c r="AP6" i="2"/>
  <c r="AP18" i="2"/>
  <c r="AJ10" i="2"/>
  <c r="T33" i="2"/>
  <c r="U33" i="2" s="1"/>
  <c r="P34" i="2"/>
  <c r="T34" i="2" s="1"/>
  <c r="U34" i="2" s="1"/>
  <c r="AZ3" i="2" s="1" a="1"/>
  <c r="BM21" i="2" l="1"/>
  <c r="BE21" i="2"/>
  <c r="BK20" i="2"/>
  <c r="BC20" i="2"/>
  <c r="BI19" i="2"/>
  <c r="BA19" i="2"/>
  <c r="BG18" i="2"/>
  <c r="BM17" i="2"/>
  <c r="BE17" i="2"/>
  <c r="BK16" i="2"/>
  <c r="BC16" i="2"/>
  <c r="BI15" i="2"/>
  <c r="BA15" i="2"/>
  <c r="BG14" i="2"/>
  <c r="BM13" i="2"/>
  <c r="BE13" i="2"/>
  <c r="BK12" i="2"/>
  <c r="BC12" i="2"/>
  <c r="BI11" i="2"/>
  <c r="BA11" i="2"/>
  <c r="BG10" i="2"/>
  <c r="BM9" i="2"/>
  <c r="BE9" i="2"/>
  <c r="BK8" i="2"/>
  <c r="BC8" i="2"/>
  <c r="BI7" i="2"/>
  <c r="BA7" i="2"/>
  <c r="BG6" i="2"/>
  <c r="BM5" i="2"/>
  <c r="BE5" i="2"/>
  <c r="BK4" i="2"/>
  <c r="BL21" i="2"/>
  <c r="BD21" i="2"/>
  <c r="BJ20" i="2"/>
  <c r="BB20" i="2"/>
  <c r="BH19" i="2"/>
  <c r="AZ19" i="2"/>
  <c r="BF18" i="2"/>
  <c r="BL17" i="2"/>
  <c r="BD17" i="2"/>
  <c r="BJ16" i="2"/>
  <c r="BB16" i="2"/>
  <c r="BH15" i="2"/>
  <c r="AZ15" i="2"/>
  <c r="BF14" i="2"/>
  <c r="BL13" i="2"/>
  <c r="BD13" i="2"/>
  <c r="BJ12" i="2"/>
  <c r="BB12" i="2"/>
  <c r="BH11" i="2"/>
  <c r="AZ11" i="2"/>
  <c r="BF10" i="2"/>
  <c r="BL9" i="2"/>
  <c r="BD9" i="2"/>
  <c r="BJ8" i="2"/>
  <c r="BB8" i="2"/>
  <c r="BH7" i="2"/>
  <c r="AZ7" i="2"/>
  <c r="BF6" i="2"/>
  <c r="BL5" i="2"/>
  <c r="BD5" i="2"/>
  <c r="BJ4" i="2"/>
  <c r="BB4" i="2"/>
  <c r="BC21" i="2"/>
  <c r="BG20" i="2"/>
  <c r="BK19" i="2"/>
  <c r="BM18" i="2"/>
  <c r="BC18" i="2"/>
  <c r="BG17" i="2"/>
  <c r="BI16" i="2"/>
  <c r="BM15" i="2"/>
  <c r="BC15" i="2"/>
  <c r="BE14" i="2"/>
  <c r="BI13" i="2"/>
  <c r="BM12" i="2"/>
  <c r="BA12" i="2"/>
  <c r="BE11" i="2"/>
  <c r="BI10" i="2"/>
  <c r="BK9" i="2"/>
  <c r="BA9" i="2"/>
  <c r="BE8" i="2"/>
  <c r="BG7" i="2"/>
  <c r="BK6" i="2"/>
  <c r="BA6" i="2"/>
  <c r="BC5" i="2"/>
  <c r="BG4" i="2"/>
  <c r="BL3" i="2"/>
  <c r="BD3" i="2"/>
  <c r="BK21" i="2"/>
  <c r="BA21" i="2"/>
  <c r="BE20" i="2"/>
  <c r="BG19" i="2"/>
  <c r="BK18" i="2"/>
  <c r="BA18" i="2"/>
  <c r="BC17" i="2"/>
  <c r="BG16" i="2"/>
  <c r="BK15" i="2"/>
  <c r="BM14" i="2"/>
  <c r="BC14" i="2"/>
  <c r="BG13" i="2"/>
  <c r="BI12" i="2"/>
  <c r="BM11" i="2"/>
  <c r="BC11" i="2"/>
  <c r="BE10" i="2"/>
  <c r="BI9" i="2"/>
  <c r="BM8" i="2"/>
  <c r="BA8" i="2"/>
  <c r="BE7" i="2"/>
  <c r="BI6" i="2"/>
  <c r="BK5" i="2"/>
  <c r="BA5" i="2"/>
  <c r="BE4" i="2"/>
  <c r="BJ3" i="2"/>
  <c r="BB3" i="2"/>
  <c r="BJ21" i="2"/>
  <c r="AZ21" i="2"/>
  <c r="BD20" i="2"/>
  <c r="BF19" i="2"/>
  <c r="BJ18" i="2"/>
  <c r="AZ18" i="2"/>
  <c r="BB17" i="2"/>
  <c r="BF16" i="2"/>
  <c r="BJ15" i="2"/>
  <c r="BL14" i="2"/>
  <c r="BB14" i="2"/>
  <c r="BF13" i="2"/>
  <c r="BH12" i="2"/>
  <c r="BL11" i="2"/>
  <c r="BB11" i="2"/>
  <c r="BD10" i="2"/>
  <c r="BH9" i="2"/>
  <c r="BL8" i="2"/>
  <c r="AZ8" i="2"/>
  <c r="BD7" i="2"/>
  <c r="BH6" i="2"/>
  <c r="BJ5" i="2"/>
  <c r="AZ5" i="2"/>
  <c r="BD4" i="2"/>
  <c r="BI3" i="2"/>
  <c r="BA3" i="2"/>
  <c r="BI21" i="2"/>
  <c r="BM20" i="2"/>
  <c r="BA20" i="2"/>
  <c r="BE19" i="2"/>
  <c r="BI18" i="2"/>
  <c r="BK17" i="2"/>
  <c r="BA17" i="2"/>
  <c r="BE16" i="2"/>
  <c r="BG15" i="2"/>
  <c r="BK14" i="2"/>
  <c r="BA14" i="2"/>
  <c r="BC13" i="2"/>
  <c r="BG12" i="2"/>
  <c r="BK11" i="2"/>
  <c r="BM10" i="2"/>
  <c r="BC10" i="2"/>
  <c r="BG9" i="2"/>
  <c r="BI8" i="2"/>
  <c r="BM7" i="2"/>
  <c r="BC7" i="2"/>
  <c r="BE6" i="2"/>
  <c r="BI5" i="2"/>
  <c r="BM4" i="2"/>
  <c r="BC4" i="2"/>
  <c r="BH3" i="2"/>
  <c r="AZ3" i="2"/>
  <c r="BH21" i="2"/>
  <c r="BL20" i="2"/>
  <c r="AZ20" i="2"/>
  <c r="BD19" i="2"/>
  <c r="BH18" i="2"/>
  <c r="BJ17" i="2"/>
  <c r="AZ17" i="2"/>
  <c r="BD16" i="2"/>
  <c r="BF15" i="2"/>
  <c r="BJ14" i="2"/>
  <c r="AZ14" i="2"/>
  <c r="BB13" i="2"/>
  <c r="BF12" i="2"/>
  <c r="BJ11" i="2"/>
  <c r="BL10" i="2"/>
  <c r="BB10" i="2"/>
  <c r="BF9" i="2"/>
  <c r="BH8" i="2"/>
  <c r="BL7" i="2"/>
  <c r="BB7" i="2"/>
  <c r="BD6" i="2"/>
  <c r="BH5" i="2"/>
  <c r="BL4" i="2"/>
  <c r="BA4" i="2"/>
  <c r="BG3" i="2"/>
  <c r="BF20" i="2"/>
  <c r="BD18" i="2"/>
  <c r="BA16" i="2"/>
  <c r="BD14" i="2"/>
  <c r="BD12" i="2"/>
  <c r="BA10" i="2"/>
  <c r="BD8" i="2"/>
  <c r="BB6" i="2"/>
  <c r="AZ4" i="2"/>
  <c r="BM19" i="2"/>
  <c r="BB18" i="2"/>
  <c r="AZ16" i="2"/>
  <c r="BK13" i="2"/>
  <c r="AZ12" i="2"/>
  <c r="AZ10" i="2"/>
  <c r="BK7" i="2"/>
  <c r="AZ6" i="2"/>
  <c r="BM3" i="2"/>
  <c r="BC19" i="2"/>
  <c r="BD11" i="2"/>
  <c r="BE3" i="2"/>
  <c r="BL6" i="2"/>
  <c r="BL19" i="2"/>
  <c r="BI17" i="2"/>
  <c r="BL15" i="2"/>
  <c r="BJ13" i="2"/>
  <c r="BG11" i="2"/>
  <c r="BJ9" i="2"/>
  <c r="BJ7" i="2"/>
  <c r="BG5" i="2"/>
  <c r="BK3" i="2"/>
  <c r="BM6" i="2"/>
  <c r="BG21" i="2"/>
  <c r="BJ19" i="2"/>
  <c r="BH17" i="2"/>
  <c r="BE15" i="2"/>
  <c r="BH13" i="2"/>
  <c r="BF11" i="2"/>
  <c r="BC9" i="2"/>
  <c r="BF7" i="2"/>
  <c r="BF5" i="2"/>
  <c r="BF3" i="2"/>
  <c r="BF17" i="2"/>
  <c r="BA13" i="2"/>
  <c r="BB9" i="2"/>
  <c r="BB21" i="2"/>
  <c r="BM16" i="2"/>
  <c r="AZ13" i="2"/>
  <c r="AZ9" i="2"/>
  <c r="BC3" i="2"/>
  <c r="BF21" i="2"/>
  <c r="BD15" i="2"/>
  <c r="BB5" i="2"/>
  <c r="BB19" i="2"/>
  <c r="BB15" i="2"/>
  <c r="BK10" i="2"/>
  <c r="BI4" i="2"/>
  <c r="BL18" i="2"/>
  <c r="BJ10" i="2"/>
  <c r="BE18" i="2"/>
  <c r="BH10" i="2"/>
  <c r="BL16" i="2"/>
  <c r="BG8" i="2"/>
  <c r="BH16" i="2"/>
  <c r="BF8" i="2"/>
  <c r="BI20" i="2"/>
  <c r="BH4" i="2"/>
  <c r="BF4" i="2"/>
  <c r="BJ6" i="2"/>
  <c r="BC6" i="2"/>
  <c r="BH20" i="2"/>
  <c r="BI14" i="2"/>
  <c r="BH14" i="2"/>
  <c r="BL12" i="2"/>
  <c r="BE12" i="2"/>
  <c r="D29" i="5" l="1"/>
  <c r="E29" i="5"/>
  <c r="F28" i="5"/>
  <c r="F27" i="5"/>
  <c r="F29" i="5" s="1"/>
  <c r="E5" i="3" l="1"/>
  <c r="F5" i="3" s="1"/>
  <c r="X4" i="4" l="1"/>
  <c r="U7" i="4"/>
  <c r="U4" i="4"/>
  <c r="O23" i="1" l="1"/>
  <c r="O28" i="1"/>
  <c r="O24" i="1"/>
  <c r="O20" i="1"/>
  <c r="C2" i="4" l="1"/>
  <c r="C9" i="4" s="1"/>
  <c r="D27" i="1" l="1"/>
  <c r="E14" i="6"/>
  <c r="E27" i="1" l="1"/>
  <c r="F14" i="6"/>
  <c r="G14" i="6" l="1"/>
  <c r="I2" i="4"/>
  <c r="I5" i="4" s="1"/>
  <c r="G27" i="1" l="1"/>
  <c r="F27" i="1"/>
  <c r="H14" i="6"/>
  <c r="I14" i="6" l="1"/>
  <c r="L2" i="4"/>
  <c r="A14" i="4" s="1"/>
  <c r="B14" i="4" s="1"/>
  <c r="B18" i="4" s="1"/>
  <c r="D4" i="6" s="1"/>
  <c r="D4" i="1" s="1"/>
  <c r="C14" i="4" l="1"/>
  <c r="I27" i="1"/>
  <c r="H27" i="1"/>
  <c r="J14" i="6"/>
  <c r="C13" i="3"/>
  <c r="D14" i="4" l="1"/>
  <c r="E14" i="4" s="1"/>
  <c r="F14" i="4" s="1"/>
  <c r="G14" i="4" s="1"/>
  <c r="H14" i="4" s="1"/>
  <c r="I14" i="4" s="1"/>
  <c r="J14" i="4" s="1"/>
  <c r="K14" i="4" s="1"/>
  <c r="L14" i="4" s="1"/>
  <c r="M14" i="4" s="1"/>
  <c r="N14" i="4" s="1"/>
  <c r="O14" i="4" s="1"/>
  <c r="O18" i="4" s="1"/>
  <c r="C18" i="4"/>
  <c r="J27" i="1"/>
  <c r="K14" i="6"/>
  <c r="T13" i="4"/>
  <c r="K27" i="1" l="1"/>
  <c r="L14" i="6"/>
  <c r="H6" i="3"/>
  <c r="I6" i="3" s="1"/>
  <c r="J6" i="3" s="1"/>
  <c r="K6" i="3" s="1"/>
  <c r="L6" i="3" s="1"/>
  <c r="M6" i="3" s="1"/>
  <c r="N6" i="3" s="1"/>
  <c r="O6" i="3" s="1"/>
  <c r="P6" i="3" s="1"/>
  <c r="H11" i="3"/>
  <c r="I11" i="3" s="1"/>
  <c r="J11" i="3" s="1"/>
  <c r="K11" i="3" s="1"/>
  <c r="L11" i="3" s="1"/>
  <c r="M11" i="3" s="1"/>
  <c r="N11" i="3" s="1"/>
  <c r="O11" i="3" s="1"/>
  <c r="P11" i="3" s="1"/>
  <c r="H17" i="3"/>
  <c r="I17" i="3" s="1"/>
  <c r="J17" i="3" s="1"/>
  <c r="K17" i="3" s="1"/>
  <c r="L17" i="3" s="1"/>
  <c r="M17" i="3" s="1"/>
  <c r="N17" i="3" s="1"/>
  <c r="O17" i="3" s="1"/>
  <c r="P17" i="3" s="1"/>
  <c r="L27" i="1" l="1"/>
  <c r="M14" i="6"/>
  <c r="M27" i="1" l="1"/>
  <c r="N14" i="6"/>
  <c r="E13" i="3"/>
  <c r="F13" i="3" s="1"/>
  <c r="C16" i="3"/>
  <c r="C17" i="3"/>
  <c r="C18" i="3"/>
  <c r="C19" i="3"/>
  <c r="C15" i="3"/>
  <c r="C10" i="3"/>
  <c r="E10" i="3" s="1"/>
  <c r="C11" i="3"/>
  <c r="E11" i="3" s="1"/>
  <c r="F11" i="3" s="1"/>
  <c r="C12" i="3"/>
  <c r="E12" i="3" s="1"/>
  <c r="C9" i="3"/>
  <c r="E9" i="3" s="1"/>
  <c r="E6" i="3"/>
  <c r="F6" i="3" s="1"/>
  <c r="G29" i="5"/>
  <c r="H29" i="5"/>
  <c r="N27" i="1" l="1"/>
  <c r="O27" i="1" s="1"/>
  <c r="O19" i="1"/>
  <c r="E4" i="6"/>
  <c r="E4" i="1" s="1"/>
  <c r="G12" i="3"/>
  <c r="H12" i="3" s="1"/>
  <c r="I12" i="3" s="1"/>
  <c r="J12" i="3" s="1"/>
  <c r="K12" i="3" s="1"/>
  <c r="L12" i="3" s="1"/>
  <c r="M12" i="3" s="1"/>
  <c r="N12" i="3" s="1"/>
  <c r="O12" i="3" s="1"/>
  <c r="P12" i="3" s="1"/>
  <c r="F12" i="3"/>
  <c r="F10" i="3"/>
  <c r="G10" i="3"/>
  <c r="H10" i="3" s="1"/>
  <c r="I10" i="3" s="1"/>
  <c r="J10" i="3" s="1"/>
  <c r="K10" i="3" s="1"/>
  <c r="L10" i="3" s="1"/>
  <c r="M10" i="3" s="1"/>
  <c r="N10" i="3" s="1"/>
  <c r="O10" i="3" s="1"/>
  <c r="P10" i="3" s="1"/>
  <c r="G13" i="3"/>
  <c r="G9" i="3"/>
  <c r="H9" i="3" s="1"/>
  <c r="I9" i="3" s="1"/>
  <c r="J9" i="3" s="1"/>
  <c r="K9" i="3" s="1"/>
  <c r="L9" i="3" s="1"/>
  <c r="M9" i="3" s="1"/>
  <c r="N9" i="3" s="1"/>
  <c r="O9" i="3" s="1"/>
  <c r="P9" i="3" s="1"/>
  <c r="F9" i="3"/>
  <c r="E16" i="3"/>
  <c r="E17" i="3"/>
  <c r="F17" i="3" s="1"/>
  <c r="O14" i="6" l="1"/>
  <c r="P14" i="6"/>
  <c r="E5" i="6"/>
  <c r="F57" i="3"/>
  <c r="H13" i="3"/>
  <c r="G57" i="3"/>
  <c r="D37" i="1"/>
  <c r="G16" i="3"/>
  <c r="H16" i="3" s="1"/>
  <c r="I16" i="3" s="1"/>
  <c r="J16" i="3" s="1"/>
  <c r="K16" i="3" s="1"/>
  <c r="L16" i="3" s="1"/>
  <c r="M16" i="3" s="1"/>
  <c r="N16" i="3" s="1"/>
  <c r="O16" i="3" s="1"/>
  <c r="P16" i="3" s="1"/>
  <c r="F16" i="3"/>
  <c r="E37" i="1"/>
  <c r="D5" i="6"/>
  <c r="D5" i="1" s="1"/>
  <c r="D10" i="1" s="1"/>
  <c r="I13" i="3" l="1"/>
  <c r="H57" i="3"/>
  <c r="F37" i="1"/>
  <c r="E46" i="3"/>
  <c r="J13" i="3" l="1"/>
  <c r="I57" i="3"/>
  <c r="G46" i="3"/>
  <c r="H46" i="3" s="1"/>
  <c r="I46" i="3" s="1"/>
  <c r="J46" i="3" s="1"/>
  <c r="K46" i="3" s="1"/>
  <c r="L46" i="3" s="1"/>
  <c r="M46" i="3" s="1"/>
  <c r="N46" i="3" s="1"/>
  <c r="O46" i="3" s="1"/>
  <c r="P46" i="3" s="1"/>
  <c r="F46" i="3"/>
  <c r="G37" i="1"/>
  <c r="K13" i="3" l="1"/>
  <c r="J57" i="3"/>
  <c r="H37" i="1"/>
  <c r="E40" i="3"/>
  <c r="F40" i="3" s="1"/>
  <c r="E41" i="3"/>
  <c r="L13" i="3" l="1"/>
  <c r="K57" i="3"/>
  <c r="F41" i="3"/>
  <c r="G41" i="3"/>
  <c r="H41" i="3" s="1"/>
  <c r="I41" i="3" s="1"/>
  <c r="J41" i="3" s="1"/>
  <c r="K41" i="3" s="1"/>
  <c r="L41" i="3" s="1"/>
  <c r="M41" i="3" s="1"/>
  <c r="N41" i="3" s="1"/>
  <c r="O41" i="3" s="1"/>
  <c r="P41" i="3" s="1"/>
  <c r="G40" i="3"/>
  <c r="H40" i="3" s="1"/>
  <c r="I40" i="3" s="1"/>
  <c r="J40" i="3" s="1"/>
  <c r="K40" i="3" s="1"/>
  <c r="L40" i="3" s="1"/>
  <c r="M40" i="3" s="1"/>
  <c r="N40" i="3" s="1"/>
  <c r="O40" i="3" s="1"/>
  <c r="P40" i="3" s="1"/>
  <c r="I37" i="1"/>
  <c r="M13" i="3" l="1"/>
  <c r="L57" i="3"/>
  <c r="J37" i="1"/>
  <c r="N13" i="3" l="1"/>
  <c r="M57" i="3"/>
  <c r="K37" i="1"/>
  <c r="C42" i="3"/>
  <c r="E42" i="3" s="1"/>
  <c r="F42" i="3" s="1"/>
  <c r="E47" i="3"/>
  <c r="E45" i="3"/>
  <c r="E24" i="3"/>
  <c r="E25" i="3"/>
  <c r="E26" i="3"/>
  <c r="E28" i="3"/>
  <c r="E29" i="3"/>
  <c r="E30" i="3"/>
  <c r="E31" i="3"/>
  <c r="E32" i="3"/>
  <c r="E34" i="3"/>
  <c r="E35" i="3"/>
  <c r="E36" i="3"/>
  <c r="E23" i="3"/>
  <c r="E22" i="3"/>
  <c r="E21" i="3"/>
  <c r="E7" i="3"/>
  <c r="O13" i="3" l="1"/>
  <c r="N57" i="3"/>
  <c r="G30" i="3"/>
  <c r="H30" i="3" s="1"/>
  <c r="I30" i="3" s="1"/>
  <c r="J30" i="3" s="1"/>
  <c r="K30" i="3" s="1"/>
  <c r="L30" i="3" s="1"/>
  <c r="M30" i="3" s="1"/>
  <c r="N30" i="3" s="1"/>
  <c r="O30" i="3" s="1"/>
  <c r="P30" i="3" s="1"/>
  <c r="F30" i="3"/>
  <c r="G36" i="3"/>
  <c r="H36" i="3" s="1"/>
  <c r="I36" i="3" s="1"/>
  <c r="J36" i="3" s="1"/>
  <c r="K36" i="3" s="1"/>
  <c r="L36" i="3" s="1"/>
  <c r="M36" i="3" s="1"/>
  <c r="N36" i="3" s="1"/>
  <c r="O36" i="3" s="1"/>
  <c r="P36" i="3" s="1"/>
  <c r="F36" i="3"/>
  <c r="G42" i="3"/>
  <c r="H42" i="3" s="1"/>
  <c r="I42" i="3" s="1"/>
  <c r="J42" i="3" s="1"/>
  <c r="K42" i="3" s="1"/>
  <c r="L42" i="3" s="1"/>
  <c r="M42" i="3" s="1"/>
  <c r="N42" i="3" s="1"/>
  <c r="O42" i="3" s="1"/>
  <c r="P42" i="3" s="1"/>
  <c r="F29" i="3"/>
  <c r="G29" i="3"/>
  <c r="H29" i="3" s="1"/>
  <c r="I29" i="3" s="1"/>
  <c r="J29" i="3" s="1"/>
  <c r="K29" i="3" s="1"/>
  <c r="L29" i="3" s="1"/>
  <c r="M29" i="3" s="1"/>
  <c r="N29" i="3" s="1"/>
  <c r="O29" i="3" s="1"/>
  <c r="P29" i="3" s="1"/>
  <c r="G23" i="3"/>
  <c r="H23" i="3" s="1"/>
  <c r="I23" i="3" s="1"/>
  <c r="J23" i="3" s="1"/>
  <c r="K23" i="3" s="1"/>
  <c r="L23" i="3" s="1"/>
  <c r="M23" i="3" s="1"/>
  <c r="N23" i="3" s="1"/>
  <c r="O23" i="3" s="1"/>
  <c r="P23" i="3" s="1"/>
  <c r="F23" i="3"/>
  <c r="F47" i="3"/>
  <c r="G47" i="3"/>
  <c r="H47" i="3" s="1"/>
  <c r="I47" i="3" s="1"/>
  <c r="J47" i="3" s="1"/>
  <c r="K47" i="3" s="1"/>
  <c r="L47" i="3" s="1"/>
  <c r="M47" i="3" s="1"/>
  <c r="N47" i="3" s="1"/>
  <c r="O47" i="3" s="1"/>
  <c r="P47" i="3" s="1"/>
  <c r="F35" i="3"/>
  <c r="G35" i="3"/>
  <c r="H35" i="3" s="1"/>
  <c r="I35" i="3" s="1"/>
  <c r="J35" i="3" s="1"/>
  <c r="K35" i="3" s="1"/>
  <c r="L35" i="3" s="1"/>
  <c r="M35" i="3" s="1"/>
  <c r="N35" i="3" s="1"/>
  <c r="O35" i="3" s="1"/>
  <c r="P35" i="3" s="1"/>
  <c r="F28" i="3"/>
  <c r="G28" i="3"/>
  <c r="G7" i="3"/>
  <c r="H7" i="3" s="1"/>
  <c r="I7" i="3" s="1"/>
  <c r="J7" i="3" s="1"/>
  <c r="K7" i="3" s="1"/>
  <c r="L7" i="3" s="1"/>
  <c r="M7" i="3" s="1"/>
  <c r="N7" i="3" s="1"/>
  <c r="O7" i="3" s="1"/>
  <c r="P7" i="3" s="1"/>
  <c r="F7" i="3"/>
  <c r="F34" i="3"/>
  <c r="G34" i="3"/>
  <c r="F26" i="3"/>
  <c r="G26" i="3"/>
  <c r="H26" i="3" s="1"/>
  <c r="I26" i="3" s="1"/>
  <c r="J26" i="3" s="1"/>
  <c r="K26" i="3" s="1"/>
  <c r="L26" i="3" s="1"/>
  <c r="M26" i="3" s="1"/>
  <c r="N26" i="3" s="1"/>
  <c r="O26" i="3" s="1"/>
  <c r="P26" i="3" s="1"/>
  <c r="F21" i="3"/>
  <c r="G21" i="3"/>
  <c r="G32" i="3"/>
  <c r="H32" i="3" s="1"/>
  <c r="I32" i="3" s="1"/>
  <c r="J32" i="3" s="1"/>
  <c r="K32" i="3" s="1"/>
  <c r="L32" i="3" s="1"/>
  <c r="M32" i="3" s="1"/>
  <c r="N32" i="3" s="1"/>
  <c r="O32" i="3" s="1"/>
  <c r="P32" i="3" s="1"/>
  <c r="F32" i="3"/>
  <c r="G25" i="3"/>
  <c r="H25" i="3" s="1"/>
  <c r="I25" i="3" s="1"/>
  <c r="J25" i="3" s="1"/>
  <c r="K25" i="3" s="1"/>
  <c r="L25" i="3" s="1"/>
  <c r="M25" i="3" s="1"/>
  <c r="N25" i="3" s="1"/>
  <c r="O25" i="3" s="1"/>
  <c r="P25" i="3" s="1"/>
  <c r="F25" i="3"/>
  <c r="G22" i="3"/>
  <c r="H22" i="3" s="1"/>
  <c r="I22" i="3" s="1"/>
  <c r="J22" i="3" s="1"/>
  <c r="K22" i="3" s="1"/>
  <c r="L22" i="3" s="1"/>
  <c r="M22" i="3" s="1"/>
  <c r="N22" i="3" s="1"/>
  <c r="O22" i="3" s="1"/>
  <c r="P22" i="3" s="1"/>
  <c r="F22" i="3"/>
  <c r="G31" i="3"/>
  <c r="H31" i="3" s="1"/>
  <c r="I31" i="3" s="1"/>
  <c r="J31" i="3" s="1"/>
  <c r="K31" i="3" s="1"/>
  <c r="L31" i="3" s="1"/>
  <c r="M31" i="3" s="1"/>
  <c r="N31" i="3" s="1"/>
  <c r="O31" i="3" s="1"/>
  <c r="P31" i="3" s="1"/>
  <c r="F31" i="3"/>
  <c r="G24" i="3"/>
  <c r="H24" i="3" s="1"/>
  <c r="I24" i="3" s="1"/>
  <c r="J24" i="3" s="1"/>
  <c r="K24" i="3" s="1"/>
  <c r="L24" i="3" s="1"/>
  <c r="M24" i="3" s="1"/>
  <c r="N24" i="3" s="1"/>
  <c r="O24" i="3" s="1"/>
  <c r="P24" i="3" s="1"/>
  <c r="F24" i="3"/>
  <c r="G45" i="3"/>
  <c r="F45" i="3"/>
  <c r="L37" i="1"/>
  <c r="F60" i="3" l="1"/>
  <c r="G63" i="3"/>
  <c r="F63" i="3"/>
  <c r="H34" i="3"/>
  <c r="G61" i="3"/>
  <c r="F61" i="3"/>
  <c r="H21" i="3"/>
  <c r="G59" i="3"/>
  <c r="H28" i="3"/>
  <c r="G60" i="3"/>
  <c r="F59" i="3"/>
  <c r="P13" i="3"/>
  <c r="O57" i="3"/>
  <c r="H45" i="3"/>
  <c r="M37" i="1"/>
  <c r="P57" i="3" l="1"/>
  <c r="N37" i="1"/>
  <c r="O37" i="1" s="1"/>
  <c r="I21" i="3"/>
  <c r="H59" i="3"/>
  <c r="I34" i="3"/>
  <c r="H61" i="3"/>
  <c r="H63" i="3"/>
  <c r="I28" i="3"/>
  <c r="H60" i="3"/>
  <c r="I45" i="3"/>
  <c r="J28" i="3" l="1"/>
  <c r="I60" i="3"/>
  <c r="J21" i="3"/>
  <c r="I59" i="3"/>
  <c r="J34" i="3"/>
  <c r="I61" i="3"/>
  <c r="I63" i="3"/>
  <c r="J45" i="3"/>
  <c r="K21" i="3" l="1"/>
  <c r="J59" i="3"/>
  <c r="K28" i="3"/>
  <c r="J60" i="3"/>
  <c r="K34" i="3"/>
  <c r="J61" i="3"/>
  <c r="J63" i="3"/>
  <c r="K45" i="3"/>
  <c r="C53" i="3"/>
  <c r="C52" i="3"/>
  <c r="C38" i="3"/>
  <c r="L28" i="3" l="1"/>
  <c r="K60" i="3"/>
  <c r="K63" i="3"/>
  <c r="L21" i="3"/>
  <c r="K59" i="3"/>
  <c r="L34" i="3"/>
  <c r="K61" i="3"/>
  <c r="L45" i="3"/>
  <c r="E52" i="3"/>
  <c r="F52" i="3" s="1"/>
  <c r="E53" i="3"/>
  <c r="F53" i="3" s="1"/>
  <c r="E38" i="3"/>
  <c r="E18" i="3"/>
  <c r="E15" i="3"/>
  <c r="C43" i="3"/>
  <c r="E43" i="3" s="1"/>
  <c r="F43" i="3" s="1"/>
  <c r="M34" i="3" l="1"/>
  <c r="L61" i="3"/>
  <c r="L63" i="3"/>
  <c r="M21" i="3"/>
  <c r="L59" i="3"/>
  <c r="M28" i="3"/>
  <c r="L60" i="3"/>
  <c r="G5" i="3"/>
  <c r="G56" i="3" s="1"/>
  <c r="G52" i="3"/>
  <c r="F18" i="3"/>
  <c r="G18" i="3"/>
  <c r="H18" i="3" s="1"/>
  <c r="I18" i="3" s="1"/>
  <c r="J18" i="3" s="1"/>
  <c r="K18" i="3" s="1"/>
  <c r="L18" i="3" s="1"/>
  <c r="M18" i="3" s="1"/>
  <c r="N18" i="3" s="1"/>
  <c r="O18" i="3" s="1"/>
  <c r="P18" i="3" s="1"/>
  <c r="F38" i="3"/>
  <c r="G38" i="3"/>
  <c r="G43" i="3"/>
  <c r="H43" i="3" s="1"/>
  <c r="I43" i="3" s="1"/>
  <c r="J43" i="3" s="1"/>
  <c r="K43" i="3" s="1"/>
  <c r="L43" i="3" s="1"/>
  <c r="M43" i="3" s="1"/>
  <c r="N43" i="3" s="1"/>
  <c r="O43" i="3" s="1"/>
  <c r="P43" i="3" s="1"/>
  <c r="G53" i="3"/>
  <c r="H53" i="3" s="1"/>
  <c r="I53" i="3" s="1"/>
  <c r="J53" i="3" s="1"/>
  <c r="K53" i="3" s="1"/>
  <c r="L53" i="3" s="1"/>
  <c r="M53" i="3" s="1"/>
  <c r="N53" i="3" s="1"/>
  <c r="O53" i="3" s="1"/>
  <c r="P53" i="3" s="1"/>
  <c r="M45" i="3"/>
  <c r="G15" i="3"/>
  <c r="F15" i="3"/>
  <c r="E39" i="3"/>
  <c r="F39" i="3" s="1"/>
  <c r="E19" i="3"/>
  <c r="F19" i="3" s="1"/>
  <c r="F65" i="3" l="1"/>
  <c r="G65" i="3"/>
  <c r="D39" i="1"/>
  <c r="F56" i="3"/>
  <c r="M63" i="3"/>
  <c r="N21" i="3"/>
  <c r="M59" i="3"/>
  <c r="N28" i="3"/>
  <c r="M60" i="3"/>
  <c r="N34" i="3"/>
  <c r="M61" i="3"/>
  <c r="H15" i="3"/>
  <c r="D38" i="1"/>
  <c r="G19" i="3"/>
  <c r="H19" i="3" s="1"/>
  <c r="I19" i="3" s="1"/>
  <c r="J19" i="3" s="1"/>
  <c r="K19" i="3" s="1"/>
  <c r="L19" i="3" s="1"/>
  <c r="M19" i="3" s="1"/>
  <c r="N19" i="3" s="1"/>
  <c r="O19" i="3" s="1"/>
  <c r="P19" i="3" s="1"/>
  <c r="N45" i="3"/>
  <c r="F62" i="3"/>
  <c r="G39" i="3"/>
  <c r="H39" i="3" s="1"/>
  <c r="I39" i="3" s="1"/>
  <c r="J39" i="3" s="1"/>
  <c r="K39" i="3" s="1"/>
  <c r="L39" i="3" s="1"/>
  <c r="M39" i="3" s="1"/>
  <c r="N39" i="3" s="1"/>
  <c r="O39" i="3" s="1"/>
  <c r="P39" i="3" s="1"/>
  <c r="H52" i="3"/>
  <c r="H65" i="3" s="1"/>
  <c r="H38" i="3"/>
  <c r="H5" i="3"/>
  <c r="H56" i="3" s="1"/>
  <c r="E39" i="1"/>
  <c r="S17" i="4"/>
  <c r="T17" i="4" s="1"/>
  <c r="H62" i="3" l="1"/>
  <c r="G62" i="3"/>
  <c r="G58" i="3"/>
  <c r="N63" i="3"/>
  <c r="O21" i="3"/>
  <c r="N59" i="3"/>
  <c r="O28" i="3"/>
  <c r="N60" i="3"/>
  <c r="O34" i="3"/>
  <c r="N61" i="3"/>
  <c r="F58" i="3"/>
  <c r="I15" i="3"/>
  <c r="H58" i="3"/>
  <c r="E38" i="1"/>
  <c r="O45" i="3"/>
  <c r="I38" i="3"/>
  <c r="I62" i="3" s="1"/>
  <c r="I5" i="3"/>
  <c r="I56" i="3" s="1"/>
  <c r="F39" i="1"/>
  <c r="I52" i="3"/>
  <c r="I65" i="3" s="1"/>
  <c r="F38" i="1"/>
  <c r="T16" i="4"/>
  <c r="T20" i="4"/>
  <c r="T24" i="4" s="1"/>
  <c r="O63" i="3" l="1"/>
  <c r="P34" i="3"/>
  <c r="P61" i="3" s="1"/>
  <c r="O61" i="3"/>
  <c r="P21" i="3"/>
  <c r="P59" i="3" s="1"/>
  <c r="O59" i="3"/>
  <c r="P28" i="3"/>
  <c r="P60" i="3" s="1"/>
  <c r="O60" i="3"/>
  <c r="J15" i="3"/>
  <c r="I58" i="3"/>
  <c r="J52" i="3"/>
  <c r="J65" i="3" s="1"/>
  <c r="J5" i="3"/>
  <c r="J56" i="3" s="1"/>
  <c r="G39" i="1"/>
  <c r="J38" i="3"/>
  <c r="J62" i="3" s="1"/>
  <c r="P45" i="3"/>
  <c r="P63" i="3" s="1"/>
  <c r="G38" i="1"/>
  <c r="T19" i="4"/>
  <c r="T23" i="4" s="1"/>
  <c r="T21" i="4"/>
  <c r="T25" i="4" s="1"/>
  <c r="K15" i="3" l="1"/>
  <c r="J58" i="3"/>
  <c r="K5" i="3"/>
  <c r="K56" i="3" s="1"/>
  <c r="H39" i="1"/>
  <c r="K52" i="3"/>
  <c r="K65" i="3" s="1"/>
  <c r="K38" i="3"/>
  <c r="K62" i="3" s="1"/>
  <c r="H38" i="1"/>
  <c r="T26" i="4"/>
  <c r="C50" i="3" s="1"/>
  <c r="E50" i="3" s="1"/>
  <c r="F50" i="3" s="1"/>
  <c r="L15" i="3" l="1"/>
  <c r="K58" i="3"/>
  <c r="L52" i="3"/>
  <c r="L65" i="3" s="1"/>
  <c r="L38" i="3"/>
  <c r="L62" i="3" s="1"/>
  <c r="L5" i="3"/>
  <c r="L56" i="3" s="1"/>
  <c r="I39" i="1"/>
  <c r="G50" i="3"/>
  <c r="H50" i="3" s="1"/>
  <c r="I50" i="3" s="1"/>
  <c r="J50" i="3" s="1"/>
  <c r="K50" i="3" s="1"/>
  <c r="L50" i="3" s="1"/>
  <c r="M50" i="3" s="1"/>
  <c r="N50" i="3" s="1"/>
  <c r="O50" i="3" s="1"/>
  <c r="P50" i="3" s="1"/>
  <c r="I38" i="1"/>
  <c r="C49" i="3"/>
  <c r="E49" i="3" l="1"/>
  <c r="F49" i="3" s="1"/>
  <c r="M15" i="3"/>
  <c r="L58" i="3"/>
  <c r="M38" i="3"/>
  <c r="M62" i="3" s="1"/>
  <c r="M5" i="3"/>
  <c r="M56" i="3" s="1"/>
  <c r="J39" i="1"/>
  <c r="G49" i="3"/>
  <c r="M52" i="3"/>
  <c r="M65" i="3" s="1"/>
  <c r="J38" i="1"/>
  <c r="AH2" i="4" a="1"/>
  <c r="AH2" i="4" s="1"/>
  <c r="AE2" i="4" a="1"/>
  <c r="AE2" i="4" s="1"/>
  <c r="G64" i="3" l="1"/>
  <c r="E40" i="1" s="1"/>
  <c r="N15" i="3"/>
  <c r="M58" i="3"/>
  <c r="F64" i="3"/>
  <c r="N5" i="3"/>
  <c r="N56" i="3" s="1"/>
  <c r="K39" i="1"/>
  <c r="N52" i="3"/>
  <c r="N65" i="3" s="1"/>
  <c r="H49" i="3"/>
  <c r="N38" i="3"/>
  <c r="N62" i="3" s="1"/>
  <c r="K38" i="1"/>
  <c r="AI13" i="4"/>
  <c r="AI11" i="4"/>
  <c r="AI7" i="4"/>
  <c r="AI3" i="4"/>
  <c r="AH15" i="4"/>
  <c r="AH11" i="4"/>
  <c r="AH9" i="4"/>
  <c r="AH7" i="4"/>
  <c r="AH5" i="4"/>
  <c r="AH3" i="4"/>
  <c r="AI14" i="4"/>
  <c r="AI12" i="4"/>
  <c r="AI10" i="4"/>
  <c r="AI8" i="4"/>
  <c r="AI6" i="4"/>
  <c r="AI4" i="4"/>
  <c r="AI2" i="4"/>
  <c r="AI15" i="4"/>
  <c r="AI9" i="4"/>
  <c r="AI5" i="4"/>
  <c r="AH13" i="4"/>
  <c r="AH14" i="4"/>
  <c r="AH12" i="4"/>
  <c r="AH10" i="4"/>
  <c r="AH8" i="4"/>
  <c r="AH6" i="4"/>
  <c r="AH4" i="4"/>
  <c r="AF13" i="4"/>
  <c r="AF7" i="4"/>
  <c r="AF2" i="4"/>
  <c r="AF15" i="4"/>
  <c r="AF11" i="4"/>
  <c r="AF9" i="4"/>
  <c r="AF5" i="4"/>
  <c r="AF3" i="4"/>
  <c r="AE15" i="4"/>
  <c r="AE13" i="4"/>
  <c r="AE11" i="4"/>
  <c r="AE9" i="4"/>
  <c r="AE7" i="4"/>
  <c r="AE5" i="4"/>
  <c r="AE3" i="4"/>
  <c r="AF14" i="4"/>
  <c r="AF12" i="4"/>
  <c r="AF10" i="4"/>
  <c r="AF8" i="4"/>
  <c r="AF6" i="4"/>
  <c r="AF4" i="4"/>
  <c r="AE14" i="4"/>
  <c r="AE12" i="4"/>
  <c r="AE10" i="4"/>
  <c r="AE8" i="4"/>
  <c r="AE6" i="4"/>
  <c r="AE4" i="4"/>
  <c r="F55" i="3" l="1"/>
  <c r="D40" i="1"/>
  <c r="G55" i="3"/>
  <c r="H64" i="3"/>
  <c r="O15" i="3"/>
  <c r="N58" i="3"/>
  <c r="O5" i="3"/>
  <c r="O56" i="3" s="1"/>
  <c r="L39" i="1"/>
  <c r="I49" i="3"/>
  <c r="O52" i="3"/>
  <c r="O65" i="3" s="1"/>
  <c r="O38" i="3"/>
  <c r="O62" i="3" s="1"/>
  <c r="L38" i="1"/>
  <c r="H55" i="3" l="1"/>
  <c r="F40" i="1"/>
  <c r="I64" i="3"/>
  <c r="P15" i="3"/>
  <c r="O58" i="3"/>
  <c r="J49" i="3"/>
  <c r="P52" i="3"/>
  <c r="P65" i="3" s="1"/>
  <c r="P38" i="3"/>
  <c r="P62" i="3" s="1"/>
  <c r="P5" i="3"/>
  <c r="M39" i="1"/>
  <c r="M38" i="1"/>
  <c r="P56" i="3" l="1"/>
  <c r="N39" i="1"/>
  <c r="O39" i="1" s="1"/>
  <c r="P58" i="3"/>
  <c r="N38" i="1"/>
  <c r="O38" i="1" s="1"/>
  <c r="I55" i="3"/>
  <c r="G40" i="1"/>
  <c r="J64" i="3"/>
  <c r="K49" i="3"/>
  <c r="D18" i="4"/>
  <c r="J55" i="3" l="1"/>
  <c r="H40" i="1"/>
  <c r="K64" i="3"/>
  <c r="L49" i="3"/>
  <c r="F5" i="6"/>
  <c r="F4" i="6"/>
  <c r="E18" i="4"/>
  <c r="K55" i="3" l="1"/>
  <c r="I40" i="1"/>
  <c r="L64" i="3"/>
  <c r="M49" i="3"/>
  <c r="G5" i="6"/>
  <c r="G4" i="6"/>
  <c r="E5" i="1"/>
  <c r="F18" i="4"/>
  <c r="E10" i="1" l="1"/>
  <c r="E17" i="1" s="1"/>
  <c r="L55" i="3"/>
  <c r="J40" i="1"/>
  <c r="M64" i="3"/>
  <c r="N49" i="3"/>
  <c r="H4" i="6"/>
  <c r="H5" i="6"/>
  <c r="D17" i="1"/>
  <c r="F5" i="1"/>
  <c r="G18" i="4"/>
  <c r="M55" i="3" l="1"/>
  <c r="K40" i="1"/>
  <c r="N64" i="3"/>
  <c r="O49" i="3"/>
  <c r="I4" i="6"/>
  <c r="I5" i="6"/>
  <c r="F4" i="1"/>
  <c r="G5" i="1"/>
  <c r="G4" i="1"/>
  <c r="H18" i="4"/>
  <c r="N55" i="3" l="1"/>
  <c r="L40" i="1"/>
  <c r="F10" i="1"/>
  <c r="O64" i="3"/>
  <c r="P49" i="3"/>
  <c r="P64" i="3" s="1"/>
  <c r="J4" i="6"/>
  <c r="J5" i="6"/>
  <c r="H4" i="1"/>
  <c r="H5" i="1"/>
  <c r="G10" i="1"/>
  <c r="G17" i="1" s="1"/>
  <c r="I18" i="4"/>
  <c r="O55" i="3" l="1"/>
  <c r="M40" i="1"/>
  <c r="P55" i="3"/>
  <c r="N40" i="1"/>
  <c r="K4" i="6"/>
  <c r="K5" i="6"/>
  <c r="I5" i="1"/>
  <c r="I4" i="1"/>
  <c r="H10" i="1"/>
  <c r="H17" i="1" s="1"/>
  <c r="J18" i="4"/>
  <c r="O40" i="1" l="1"/>
  <c r="F17" i="1"/>
  <c r="L5" i="6"/>
  <c r="L4" i="6"/>
  <c r="J4" i="1"/>
  <c r="J5" i="1"/>
  <c r="I10" i="1"/>
  <c r="I17" i="1" s="1"/>
  <c r="K18" i="4"/>
  <c r="M5" i="6" l="1"/>
  <c r="M4" i="6"/>
  <c r="K4" i="1"/>
  <c r="K5" i="1"/>
  <c r="J10" i="1"/>
  <c r="J17" i="1" s="1"/>
  <c r="L18" i="4"/>
  <c r="N4" i="6" l="1"/>
  <c r="N4" i="1" s="1"/>
  <c r="N5" i="6"/>
  <c r="N5" i="1" s="1"/>
  <c r="L5" i="1"/>
  <c r="L4" i="1"/>
  <c r="K10" i="1"/>
  <c r="K17" i="1" s="1"/>
  <c r="M18" i="4" l="1"/>
  <c r="N10" i="1"/>
  <c r="M5" i="1"/>
  <c r="O5" i="1" s="1"/>
  <c r="M4" i="1"/>
  <c r="O4" i="1" s="1"/>
  <c r="AF20" i="4" a="1"/>
  <c r="AF20" i="4" s="1"/>
  <c r="L10" i="1"/>
  <c r="L17" i="1" s="1"/>
  <c r="N18" i="4" l="1"/>
  <c r="D36" i="1"/>
  <c r="AF21" i="4" a="1"/>
  <c r="AI20" i="4"/>
  <c r="AH20" i="4"/>
  <c r="O4" i="6"/>
  <c r="AP20" i="4"/>
  <c r="N36" i="1" s="1"/>
  <c r="AO20" i="4"/>
  <c r="AL20" i="4"/>
  <c r="AK20" i="4"/>
  <c r="AJ20" i="4"/>
  <c r="AM20" i="4"/>
  <c r="AN20" i="4"/>
  <c r="AG20" i="4"/>
  <c r="O5" i="6"/>
  <c r="M10" i="1"/>
  <c r="AF19" i="4" a="1"/>
  <c r="AF19" i="4" s="1"/>
  <c r="O10" i="1" l="1"/>
  <c r="N17" i="1"/>
  <c r="O18" i="1"/>
  <c r="D35" i="1"/>
  <c r="M17" i="1"/>
  <c r="L36" i="1"/>
  <c r="E36" i="1"/>
  <c r="J36" i="1"/>
  <c r="K36" i="1"/>
  <c r="H36" i="1"/>
  <c r="F36" i="1"/>
  <c r="M36" i="1"/>
  <c r="I36" i="1"/>
  <c r="G36" i="1"/>
  <c r="AN21" i="4"/>
  <c r="L34" i="1" s="1"/>
  <c r="AG21" i="4"/>
  <c r="E34" i="1" s="1"/>
  <c r="AI21" i="4"/>
  <c r="G34" i="1" s="1"/>
  <c r="AP21" i="4"/>
  <c r="N34" i="1" s="1"/>
  <c r="AJ21" i="4"/>
  <c r="H34" i="1" s="1"/>
  <c r="AK21" i="4"/>
  <c r="I34" i="1" s="1"/>
  <c r="AL21" i="4"/>
  <c r="J34" i="1" s="1"/>
  <c r="AH21" i="4"/>
  <c r="F34" i="1" s="1"/>
  <c r="AF21" i="4"/>
  <c r="D34" i="1" s="1"/>
  <c r="AO21" i="4"/>
  <c r="M34" i="1" s="1"/>
  <c r="AM21" i="4"/>
  <c r="K34" i="1" s="1"/>
  <c r="AM19" i="4"/>
  <c r="AG19" i="4"/>
  <c r="AN19" i="4"/>
  <c r="AI19" i="4"/>
  <c r="AH19" i="4"/>
  <c r="AO19" i="4"/>
  <c r="AJ19" i="4"/>
  <c r="AK19" i="4"/>
  <c r="AL19" i="4"/>
  <c r="AP19" i="4"/>
  <c r="O17" i="1" l="1"/>
  <c r="D41" i="1"/>
  <c r="N22" i="1"/>
  <c r="N35" i="1"/>
  <c r="N41" i="1" s="1"/>
  <c r="O36" i="1"/>
  <c r="O34" i="1"/>
  <c r="F35" i="1"/>
  <c r="F41" i="1" s="1"/>
  <c r="F22" i="1"/>
  <c r="F21" i="1" s="1"/>
  <c r="G35" i="1"/>
  <c r="G41" i="1" s="1"/>
  <c r="G22" i="1"/>
  <c r="G21" i="1" s="1"/>
  <c r="L35" i="1"/>
  <c r="L41" i="1" s="1"/>
  <c r="L22" i="1"/>
  <c r="L21" i="1" s="1"/>
  <c r="E35" i="1"/>
  <c r="E41" i="1" s="1"/>
  <c r="E22" i="1"/>
  <c r="E21" i="1" s="1"/>
  <c r="M35" i="1"/>
  <c r="M41" i="1" s="1"/>
  <c r="M22" i="1"/>
  <c r="M21" i="1" s="1"/>
  <c r="K35" i="1"/>
  <c r="K41" i="1" s="1"/>
  <c r="K22" i="1"/>
  <c r="K21" i="1" s="1"/>
  <c r="J35" i="1"/>
  <c r="J41" i="1" s="1"/>
  <c r="J22" i="1"/>
  <c r="J21" i="1" s="1"/>
  <c r="I35" i="1"/>
  <c r="I41" i="1" s="1"/>
  <c r="I22" i="1"/>
  <c r="I21" i="1" s="1"/>
  <c r="H35" i="1"/>
  <c r="H41" i="1" s="1"/>
  <c r="H22" i="1"/>
  <c r="H21" i="1" s="1"/>
  <c r="D22" i="1"/>
  <c r="O41" i="1" l="1"/>
  <c r="N21" i="1"/>
  <c r="N26" i="1"/>
  <c r="N25" i="1" s="1"/>
  <c r="O35" i="1"/>
  <c r="O43" i="1" s="1"/>
  <c r="D21" i="1"/>
  <c r="O22" i="1"/>
  <c r="D26" i="1"/>
  <c r="F26" i="1"/>
  <c r="F25" i="1" s="1"/>
  <c r="L26" i="1"/>
  <c r="L25" i="1" s="1"/>
  <c r="G26" i="1"/>
  <c r="G25" i="1" s="1"/>
  <c r="K26" i="1"/>
  <c r="K25" i="1" s="1"/>
  <c r="J26" i="1"/>
  <c r="J25" i="1" s="1"/>
  <c r="M26" i="1"/>
  <c r="M25" i="1" s="1"/>
  <c r="E26" i="1"/>
  <c r="E25" i="1" s="1"/>
  <c r="H26" i="1"/>
  <c r="H25" i="1" s="1"/>
  <c r="I26" i="1"/>
  <c r="I25" i="1" s="1"/>
  <c r="O21" i="1" l="1"/>
  <c r="D25" i="1"/>
  <c r="O25" i="1" s="1"/>
  <c r="O26" i="1"/>
  <c r="O44" i="1"/>
</calcChain>
</file>

<file path=xl/sharedStrings.xml><?xml version="1.0" encoding="utf-8"?>
<sst xmlns="http://schemas.openxmlformats.org/spreadsheetml/2006/main" count="390" uniqueCount="189">
  <si>
    <t>Łącznie (0-10)</t>
  </si>
  <si>
    <t>duże przedsiębiorstwa</t>
  </si>
  <si>
    <t>sektor mikro-, małych i średnich przedsiębiorstw</t>
  </si>
  <si>
    <t>Skutki w okresie 10 lat od wejścia w życie zmian [mln zł]</t>
  </si>
  <si>
    <t>Dochody ogółem</t>
  </si>
  <si>
    <t>budżet państwa</t>
  </si>
  <si>
    <t>JST</t>
  </si>
  <si>
    <t>Wydatki ogółem</t>
  </si>
  <si>
    <t>Saldo ogółem</t>
  </si>
  <si>
    <t>nazwa wydatku</t>
  </si>
  <si>
    <t>częstotliwość wydatku</t>
  </si>
  <si>
    <t>OSR - CPC</t>
  </si>
  <si>
    <t>wynagrodzenia oraz dotatkowe wynagrodzenie roczne wraz pochodnymi</t>
  </si>
  <si>
    <t>dodtakowe wydatki związane z zatrudnieniem</t>
  </si>
  <si>
    <t>liczba etatów</t>
  </si>
  <si>
    <t>liczba miesięcy</t>
  </si>
  <si>
    <t>wynagrodzenie</t>
  </si>
  <si>
    <t>pochodne Fundusz Pracy</t>
  </si>
  <si>
    <t>pochodne ZUS</t>
  </si>
  <si>
    <t>DWR</t>
  </si>
  <si>
    <t>razem wynagrodzenia</t>
  </si>
  <si>
    <t>ZFŚS</t>
  </si>
  <si>
    <t>medycyna pracy (badania wstępne)</t>
  </si>
  <si>
    <t>medycyna pracy (badania okresowe)</t>
  </si>
  <si>
    <t>BHP (dofinansowanie okularów do pracy przy komputerze)</t>
  </si>
  <si>
    <t xml:space="preserve">razem koszty dodatkowe </t>
  </si>
  <si>
    <t xml:space="preserve">razem </t>
  </si>
  <si>
    <t>rok "0"</t>
  </si>
  <si>
    <t xml:space="preserve">OGÓŁEM </t>
  </si>
  <si>
    <t>Szacowany wzrost kar wynikających z nowej ustawy</t>
  </si>
  <si>
    <t>Szacowany wzrost kar w pierwszym roku</t>
  </si>
  <si>
    <t xml:space="preserve">Dynamika wzrostu PKB w: </t>
  </si>
  <si>
    <t xml:space="preserve">2025 r. </t>
  </si>
  <si>
    <t xml:space="preserve">2026 r. </t>
  </si>
  <si>
    <t xml:space="preserve">2027 r. </t>
  </si>
  <si>
    <t xml:space="preserve">2028 r. </t>
  </si>
  <si>
    <t xml:space="preserve">2029 r. </t>
  </si>
  <si>
    <t xml:space="preserve">2030 r. </t>
  </si>
  <si>
    <t>Szacunki wielkości kar nałożonych zgodnie z dotychczasowymi przepisami w poszczególnych latach (mln PLN):</t>
  </si>
  <si>
    <t>Szacunki kar nałożonych zgodnie z nową ustawą w latach (mln PLN):</t>
  </si>
  <si>
    <t>-</t>
  </si>
  <si>
    <t>pozostałe jednostki</t>
  </si>
  <si>
    <t>Wpływ na sektor finansów publicznych</t>
  </si>
  <si>
    <t>Koszt w roku</t>
  </si>
  <si>
    <t>dni</t>
  </si>
  <si>
    <t>Pracownicy biorący udział w kontrolach</t>
  </si>
  <si>
    <t>Centrala</t>
  </si>
  <si>
    <t>Delegatury skoncentrowane (RŁO, RKR, RPZ, RWR, RKT)</t>
  </si>
  <si>
    <t>Delegatury rozproszone (RLU, RBG, RGD)</t>
  </si>
  <si>
    <t>Suma</t>
  </si>
  <si>
    <t>Kontrole poza siedzibą komówki</t>
  </si>
  <si>
    <t>Osobodni na kontrolach poza siedzibą (na delegacji)</t>
  </si>
  <si>
    <t xml:space="preserve">Dynamika wzrostu cen w: </t>
  </si>
  <si>
    <t>Wzrost PKB</t>
  </si>
  <si>
    <t>Wzrost CPI</t>
  </si>
  <si>
    <t>Pensja brutto brutto</t>
  </si>
  <si>
    <t>roczny</t>
  </si>
  <si>
    <t>jednorazowy/20% utrzymania</t>
  </si>
  <si>
    <t xml:space="preserve"> w telefony komórkowe</t>
  </si>
  <si>
    <t>koszty zakupu usług telefonii komórkowej</t>
  </si>
  <si>
    <t>koszt wynajmu 3 samochodów</t>
  </si>
  <si>
    <t>Suma (osobodni)</t>
  </si>
  <si>
    <t>hotel</t>
  </si>
  <si>
    <t xml:space="preserve">diety w delegacjach </t>
  </si>
  <si>
    <t>podst</t>
  </si>
  <si>
    <t>Koszty osobowe wg wariantów</t>
  </si>
  <si>
    <t>Pozostałe wyposażenie (nośniki zew., walizki, taśmy, tonery)</t>
  </si>
  <si>
    <t>Kary nałożone na dużych przedsiębiorców</t>
  </si>
  <si>
    <t>Liczba dni faktycznej pracy (poza urlopami, zwolnieniami itd.)</t>
  </si>
  <si>
    <t>w kamery (1 zapasowa)</t>
  </si>
  <si>
    <t>Liczba nowych postępowań rocznie</t>
  </si>
  <si>
    <t>Wzrost maksymalnej liczby jednoczesnych kontroli</t>
  </si>
  <si>
    <t>liczba</t>
  </si>
  <si>
    <t>cena</t>
  </si>
  <si>
    <t>wzrost kosztów (CPI)</t>
  </si>
  <si>
    <t xml:space="preserve">Średnia liczba kontroli na pracownika </t>
  </si>
  <si>
    <t>Wzrost liczby postępowań</t>
  </si>
  <si>
    <t>Czas spędzony na kontroli na zewnątrz (w tym przeszukania)</t>
  </si>
  <si>
    <t>CPI</t>
  </si>
  <si>
    <t>obsługa</t>
  </si>
  <si>
    <t>szkolenia</t>
  </si>
  <si>
    <t>jednorazowy/20% (rotacja etatów)</t>
  </si>
  <si>
    <t>Sprzęt do przeszukań - urządzenia</t>
  </si>
  <si>
    <t>Komputer centralny</t>
  </si>
  <si>
    <t>Komputer – przeglądanie dostępnych danych</t>
  </si>
  <si>
    <t xml:space="preserve">Przełącznik sieciowy </t>
  </si>
  <si>
    <t xml:space="preserve">Kopiarka danych </t>
  </si>
  <si>
    <t>Dyktafon</t>
  </si>
  <si>
    <t>Komputer do wykonywania notatek</t>
  </si>
  <si>
    <t>Sprzęt do przeszukań - oprogramowanie</t>
  </si>
  <si>
    <t xml:space="preserve">Licencja NUIX LAB oprogramowanie do analizy dokumentów elektronicznych </t>
  </si>
  <si>
    <t>Oprogramowanie do nieodwracalnego kasowania danych</t>
  </si>
  <si>
    <t>Oprogramowanie do analizy danych bilingowych</t>
  </si>
  <si>
    <t>Oprogramowanie OSINT – oprogramowanie do agregowania danych o potencjalnym temacie przeszukania – przeszukiwanie danych z publicznych baz danych</t>
  </si>
  <si>
    <t>Sprzęt do przeszukań - materiały eksploatacyjne</t>
  </si>
  <si>
    <t>Nośniki DVD/CD</t>
  </si>
  <si>
    <t>Nośniki SSD 250 GB</t>
  </si>
  <si>
    <t>Nośniki typu PenDrive</t>
  </si>
  <si>
    <t>Serwery</t>
  </si>
  <si>
    <t>pozostałe koszty realizacji zadań - m.in. koszty spotkań, przejazdy, materiały biurowe</t>
  </si>
  <si>
    <t>Zestaw oprogramowania do analizy danych z urządzeń mobilnych + serwis</t>
  </si>
  <si>
    <t>jednorazowy/50% serwis</t>
  </si>
  <si>
    <t xml:space="preserve"> </t>
  </si>
  <si>
    <t>Rok</t>
  </si>
  <si>
    <t>Pracownicy</t>
  </si>
  <si>
    <t>liczba decyzji</t>
  </si>
  <si>
    <t>nałożone kary</t>
  </si>
  <si>
    <t>Wystąpienia miękkie</t>
  </si>
  <si>
    <t>Kontrole</t>
  </si>
  <si>
    <t>Liczba nowych postępowań</t>
  </si>
  <si>
    <t>Przewidywane straty związane z nakładanymi karami</t>
  </si>
  <si>
    <t>średnia płaca w UOKiK dla korpusu służby cywilnej z uwzględnieniem stopy wzrostu - pracownicy merytoryczni</t>
  </si>
  <si>
    <t>średnia płaca w UOKiK dla korpusu służby cywilnej z uwzględnieniem stopy wzrostu - pracownik obsługi</t>
  </si>
  <si>
    <t>średnia płaca w UOKiK dla korpusu służby cywilnej z uwzględnieniem stopy wzrostu - wyższe stanowiska</t>
  </si>
  <si>
    <t>Koszt paliwa i myjni samochodowej</t>
  </si>
  <si>
    <t>utworzenie stanowisk pracy (biurka, komputery, regały, niszczarka, lampki itp.) - stanowiska wspomagające</t>
  </si>
  <si>
    <t>Liczba etatów dyrektorzy</t>
  </si>
  <si>
    <t xml:space="preserve">2031 r. </t>
  </si>
  <si>
    <t>Oprogramowanie Microsoft Windows Server 2019</t>
  </si>
  <si>
    <t>Oprogramowanie do przechowywania bazy danych oraz prezentacji danych (serwer bazy danych, oprogramowania serwera pośredniczącego oraz serwis internetowy do prezentacji danych oraz przyjmowania zapytań klientów)</t>
  </si>
  <si>
    <t>dyrekt</t>
  </si>
  <si>
    <t>Oprogramowanie (licencja office + Access)</t>
  </si>
  <si>
    <t>Liczba telekomów</t>
  </si>
  <si>
    <t>Duże telekomy</t>
  </si>
  <si>
    <t>Wynagrodzenia i pochodne wynagrodzeń</t>
  </si>
  <si>
    <t>Wydatki związane z utworzeniem nowych stanowisk pracy</t>
  </si>
  <si>
    <t>utworzenie stanowisk pracy (biurka, regały, niszczarka, lampki itp.) - funkcjonariusze i dyrektorzy</t>
  </si>
  <si>
    <t>Dyrektorzy</t>
  </si>
  <si>
    <t>Wspomagające (księgowość)</t>
  </si>
  <si>
    <t>Oprogramowanie (licencja office)</t>
  </si>
  <si>
    <t>jednorazowy</t>
  </si>
  <si>
    <t>Wyposażenie dyrektorzy:</t>
  </si>
  <si>
    <t>Wyposażenie księgowy (stanowisko wspomagające)</t>
  </si>
  <si>
    <t>Wyposażenie dodatkowe</t>
  </si>
  <si>
    <t>Podróże służbowe krajowe (kontrole)</t>
  </si>
  <si>
    <t>Podróże służbowe krajowe (zakup testowy)</t>
  </si>
  <si>
    <t xml:space="preserve">2032 r. </t>
  </si>
  <si>
    <t xml:space="preserve">2033 r. </t>
  </si>
  <si>
    <t>Liczba etatów księgowość</t>
  </si>
  <si>
    <t>Data wejścia w życie</t>
  </si>
  <si>
    <t>Ile zostało roku do wejścia w życie</t>
  </si>
  <si>
    <t>Koszt w roku 0</t>
  </si>
  <si>
    <t>Koszty ogółem</t>
  </si>
  <si>
    <t>Przewidywane przychody z kar nałożonych na przedsiębiorców wg lat od wejścia w życie ustawy (mln zł)</t>
  </si>
  <si>
    <t>Podróże służbowe krajowe (kontrole/przeszukania)</t>
  </si>
  <si>
    <t>Średni czas kontroli (dni)</t>
  </si>
  <si>
    <t>Podróże służbowe krajowe (zakup kontrolny)</t>
  </si>
  <si>
    <t>Liczba pracowników zajmujących się zakupem kontrolnym</t>
  </si>
  <si>
    <t>Liczba operacji "zakup z przybraną tożsamością" rocznie</t>
  </si>
  <si>
    <t>Czas spędzony na interwencji (np. "zakup z przybraną tożsamością")</t>
  </si>
  <si>
    <t>koszt zakupu usług i towarów (zakup z przybraną tożsamością), fundusz operacyjny</t>
  </si>
  <si>
    <t>PPK</t>
  </si>
  <si>
    <t>Ile to miesięcy</t>
  </si>
  <si>
    <t xml:space="preserve">2034 r. </t>
  </si>
  <si>
    <t xml:space="preserve">2035 r. </t>
  </si>
  <si>
    <t>UOKiK</t>
  </si>
  <si>
    <t xml:space="preserve">2036 r. </t>
  </si>
  <si>
    <t xml:space="preserve">2037 r. </t>
  </si>
  <si>
    <t xml:space="preserve">2038 r. </t>
  </si>
  <si>
    <t xml:space="preserve">Zmniejszenie wpływów z podatków w związku ze zmianami w "rekompensacie publicznej" w roku----: </t>
  </si>
  <si>
    <t>% podatników rozliczajacych się podatkiem 12%</t>
  </si>
  <si>
    <t>Wysokość zwrotów</t>
  </si>
  <si>
    <t>Zmniejszenie podatku</t>
  </si>
  <si>
    <t>Liczba postępowań rocznie</t>
  </si>
  <si>
    <t>Wyposażenie pracowników:</t>
  </si>
  <si>
    <t>Liczba etatów pracowników</t>
  </si>
  <si>
    <t>Sprzęt niezbędny do przekazywania informacji o blokowanych witrynach internetowych</t>
  </si>
  <si>
    <t>Wydatki związane z realizacją zadań*</t>
  </si>
  <si>
    <t>utworzenie stanowisk pracy (biurka, regały, niszczarka, lampki itp.) - pracownicy i dyrektorzy</t>
  </si>
  <si>
    <t>Średnia (2021-25)</t>
  </si>
  <si>
    <t>Kary nałożone - średnia 2021-25 (mln PLN)</t>
  </si>
  <si>
    <r>
      <t xml:space="preserve">założenie: akt prawny wchodzi w życie </t>
    </r>
    <r>
      <rPr>
        <b/>
        <sz val="20"/>
        <color rgb="FFFF0000"/>
        <rFont val="Calibri"/>
        <family val="2"/>
        <charset val="238"/>
        <scheme val="minor"/>
      </rPr>
      <t>od 01.01.2027 r.</t>
    </r>
    <r>
      <rPr>
        <b/>
        <sz val="20"/>
        <rFont val="Calibri"/>
        <family val="2"/>
        <charset val="238"/>
        <scheme val="minor"/>
      </rPr>
      <t xml:space="preserve"> (UC142)</t>
    </r>
  </si>
  <si>
    <t>oddziaływanie</t>
  </si>
  <si>
    <t>pochodne Fundusz Pracy i Fundusz Solidarnościowy</t>
  </si>
  <si>
    <t>wynagrodzenie brutto razem z DWR</t>
  </si>
  <si>
    <t>składki ZUS pracownika</t>
  </si>
  <si>
    <t>koszty uzyskania przychodu</t>
  </si>
  <si>
    <t>dochód do opodatkowania</t>
  </si>
  <si>
    <t>dochód na 1 etat</t>
  </si>
  <si>
    <t>szacunkowe zaliczki 
na podatek dochodowy 1 etat
(oddziaływanie na US)</t>
  </si>
  <si>
    <t>szacunkowe zaliczki 
na podatek dochodowy
(oddziaływanie na US)</t>
  </si>
  <si>
    <t>szacunkowe składki ZUS
(oddziaływanie na ZUS)</t>
  </si>
  <si>
    <t>szacunkowa składka zdrowotna
(oddziaływanie na NFZ)</t>
  </si>
  <si>
    <t>(ceny stałe z roku 0)</t>
  </si>
  <si>
    <t xml:space="preserve">2039 r. </t>
  </si>
  <si>
    <t>2039 r.</t>
  </si>
  <si>
    <t>2026 r.</t>
  </si>
  <si>
    <t>2040 r.</t>
  </si>
  <si>
    <t>Komputery do przetwarzania danych pochodzących ze STIR ( z dodatkowym monitorem i stacją dokującą)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</si>
</sst>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_);_(* \(#,##0\);_(* &quot;-&quot;_);_(@_)"/>
    <numFmt numFmtId="165" formatCode="_(&quot;zł&quot;* #,##0.00_);_(&quot;zł&quot;* \(#,##0.00\);_(&quot;zł&quot;* &quot;-&quot;??_);_(@_)"/>
    <numFmt numFmtId="166" formatCode="_(* #,##0.00_);_(* \(#,##0.00\);_(* &quot;-&quot;??_);_(@_)"/>
    <numFmt numFmtId="167" formatCode="0.0"/>
    <numFmt numFmtId="168" formatCode="#,##0.00_ ;\-#,##0.00\ "/>
    <numFmt numFmtId="169" formatCode="#,##0.00\ &quot;zł&quot;"/>
    <numFmt numFmtId="170" formatCode="0.0%"/>
    <numFmt numFmtId="171" formatCode="[$-415]d\ mmm\ yy;@"/>
  </numFmts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.5"/>
      <color rgb="FF000000"/>
      <name val="Times New Roman"/>
      <family val="1"/>
      <charset val="238"/>
    </font>
    <font>
      <i/>
      <sz val="10.5"/>
      <color rgb="FF000000"/>
      <name val="Times New Roman"/>
      <family val="1"/>
      <charset val="238"/>
    </font>
    <font>
      <b/>
      <sz val="10.5"/>
      <color rgb="FF000000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0" tint="-0.249977111117893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3"/>
      <color theme="0" tint="-0.249977111117893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0" tint="-0.24997711111789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i/>
      <sz val="10.5"/>
      <color rgb="FF000000"/>
      <name val="Times New Roman"/>
      <family val="1"/>
      <charset val="238"/>
    </font>
    <font>
      <b/>
      <sz val="11"/>
      <color theme="0" tint="-0.249977111117893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5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415">
    <xf numFmtId="0" fontId="0" fillId="0" borderId="0" xfId="0"/>
    <xf numFmtId="10" fontId="0" fillId="0" borderId="0" xfId="0" applyNumberFormat="1"/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5" fontId="0" fillId="0" borderId="0" xfId="0" applyNumberFormat="1"/>
    <xf numFmtId="0" fontId="0" fillId="0" borderId="0" xfId="0"/>
    <xf numFmtId="3" fontId="0" fillId="0" borderId="0" xfId="0" applyNumberFormat="1" applyAlignment="1">
      <alignment horizontal="right"/>
    </xf>
    <xf numFmtId="3" fontId="6" fillId="4" borderId="7" xfId="0" applyNumberFormat="1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/>
    <xf numFmtId="166" fontId="8" fillId="0" borderId="12" xfId="2" applyFont="1" applyFill="1" applyBorder="1" applyAlignment="1">
      <alignment textRotation="90" wrapText="1"/>
    </xf>
    <xf numFmtId="166" fontId="8" fillId="5" borderId="12" xfId="2" applyFont="1" applyFill="1" applyBorder="1" applyAlignment="1">
      <alignment textRotation="90" wrapText="1"/>
    </xf>
    <xf numFmtId="166" fontId="8" fillId="6" borderId="12" xfId="2" applyFont="1" applyFill="1" applyBorder="1" applyAlignment="1">
      <alignment textRotation="90" wrapText="1"/>
    </xf>
    <xf numFmtId="166" fontId="8" fillId="6" borderId="7" xfId="2" applyFont="1" applyFill="1" applyBorder="1" applyAlignment="1">
      <alignment textRotation="90" wrapText="1"/>
    </xf>
    <xf numFmtId="166" fontId="8" fillId="3" borderId="7" xfId="2" applyFont="1" applyFill="1" applyBorder="1" applyAlignment="1">
      <alignment textRotation="90" wrapText="1"/>
    </xf>
    <xf numFmtId="165" fontId="0" fillId="0" borderId="7" xfId="0" applyNumberFormat="1" applyBorder="1"/>
    <xf numFmtId="164" fontId="0" fillId="0" borderId="7" xfId="0" applyNumberFormat="1" applyBorder="1"/>
    <xf numFmtId="10" fontId="0" fillId="5" borderId="7" xfId="0" applyNumberFormat="1" applyFill="1" applyBorder="1"/>
    <xf numFmtId="164" fontId="0" fillId="5" borderId="7" xfId="0" applyNumberFormat="1" applyFill="1" applyBorder="1"/>
    <xf numFmtId="165" fontId="0" fillId="5" borderId="7" xfId="0" applyNumberFormat="1" applyFill="1" applyBorder="1"/>
    <xf numFmtId="165" fontId="8" fillId="5" borderId="7" xfId="0" applyNumberFormat="1" applyFont="1" applyFill="1" applyBorder="1"/>
    <xf numFmtId="169" fontId="8" fillId="6" borderId="7" xfId="0" applyNumberFormat="1" applyFont="1" applyFill="1" applyBorder="1"/>
    <xf numFmtId="164" fontId="8" fillId="5" borderId="0" xfId="0" applyNumberFormat="1" applyFont="1" applyFill="1"/>
    <xf numFmtId="0" fontId="8" fillId="5" borderId="0" xfId="0" applyFont="1" applyFill="1"/>
    <xf numFmtId="165" fontId="8" fillId="5" borderId="13" xfId="0" applyNumberFormat="1" applyFont="1" applyFill="1" applyBorder="1"/>
    <xf numFmtId="169" fontId="8" fillId="6" borderId="13" xfId="0" applyNumberFormat="1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21" xfId="0" applyBorder="1" applyAlignment="1">
      <alignment horizontal="center"/>
    </xf>
    <xf numFmtId="10" fontId="0" fillId="0" borderId="22" xfId="0" applyNumberFormat="1" applyBorder="1"/>
    <xf numFmtId="0" fontId="7" fillId="0" borderId="7" xfId="0" applyFont="1" applyBorder="1" applyAlignment="1">
      <alignment horizontal="center"/>
    </xf>
    <xf numFmtId="167" fontId="0" fillId="0" borderId="7" xfId="0" applyNumberFormat="1" applyBorder="1" applyAlignment="1">
      <alignment wrapText="1"/>
    </xf>
    <xf numFmtId="0" fontId="0" fillId="0" borderId="29" xfId="0" applyBorder="1" applyAlignment="1">
      <alignment wrapText="1"/>
    </xf>
    <xf numFmtId="0" fontId="0" fillId="0" borderId="30" xfId="0" applyBorder="1" applyAlignment="1">
      <alignment wrapText="1"/>
    </xf>
    <xf numFmtId="167" fontId="0" fillId="0" borderId="21" xfId="0" applyNumberFormat="1" applyBorder="1" applyAlignment="1">
      <alignment wrapText="1"/>
    </xf>
    <xf numFmtId="167" fontId="0" fillId="0" borderId="23" xfId="0" applyNumberFormat="1" applyBorder="1" applyAlignment="1">
      <alignment wrapText="1"/>
    </xf>
    <xf numFmtId="167" fontId="0" fillId="0" borderId="24" xfId="0" applyNumberFormat="1" applyBorder="1" applyAlignment="1">
      <alignment wrapText="1"/>
    </xf>
    <xf numFmtId="167" fontId="2" fillId="2" borderId="2" xfId="0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168" fontId="0" fillId="0" borderId="0" xfId="0" applyNumberFormat="1"/>
    <xf numFmtId="167" fontId="4" fillId="2" borderId="2" xfId="0" applyNumberFormat="1" applyFont="1" applyFill="1" applyBorder="1" applyAlignment="1">
      <alignment horizontal="center" vertical="center" wrapText="1"/>
    </xf>
    <xf numFmtId="167" fontId="4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8" fillId="0" borderId="0" xfId="0" applyFont="1"/>
    <xf numFmtId="0" fontId="11" fillId="0" borderId="20" xfId="0" applyFont="1" applyBorder="1"/>
    <xf numFmtId="0" fontId="11" fillId="0" borderId="21" xfId="0" applyFont="1" applyBorder="1"/>
    <xf numFmtId="0" fontId="11" fillId="0" borderId="22" xfId="0" applyFont="1" applyBorder="1"/>
    <xf numFmtId="0" fontId="11" fillId="0" borderId="24" xfId="0" applyFont="1" applyBorder="1"/>
    <xf numFmtId="0" fontId="11" fillId="0" borderId="0" xfId="0" applyFont="1" applyBorder="1"/>
    <xf numFmtId="2" fontId="12" fillId="0" borderId="2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0" fillId="0" borderId="10" xfId="0" applyBorder="1"/>
    <xf numFmtId="0" fontId="0" fillId="0" borderId="20" xfId="0" applyBorder="1"/>
    <xf numFmtId="0" fontId="0" fillId="0" borderId="21" xfId="0" applyBorder="1"/>
    <xf numFmtId="0" fontId="0" fillId="0" borderId="8" xfId="0" applyBorder="1"/>
    <xf numFmtId="0" fontId="0" fillId="0" borderId="40" xfId="0" applyBorder="1"/>
    <xf numFmtId="10" fontId="0" fillId="0" borderId="8" xfId="0" applyNumberFormat="1" applyBorder="1"/>
    <xf numFmtId="0" fontId="0" fillId="0" borderId="39" xfId="0" applyBorder="1"/>
    <xf numFmtId="10" fontId="0" fillId="0" borderId="9" xfId="0" applyNumberFormat="1" applyBorder="1"/>
    <xf numFmtId="0" fontId="0" fillId="0" borderId="11" xfId="0" applyBorder="1"/>
    <xf numFmtId="0" fontId="14" fillId="0" borderId="39" xfId="0" applyFont="1" applyBorder="1"/>
    <xf numFmtId="0" fontId="15" fillId="0" borderId="10" xfId="0" applyFont="1" applyBorder="1"/>
    <xf numFmtId="10" fontId="15" fillId="0" borderId="8" xfId="0" applyNumberFormat="1" applyFont="1" applyBorder="1"/>
    <xf numFmtId="0" fontId="15" fillId="0" borderId="40" xfId="0" applyFont="1" applyBorder="1"/>
    <xf numFmtId="0" fontId="14" fillId="0" borderId="21" xfId="0" applyFont="1" applyBorder="1"/>
    <xf numFmtId="0" fontId="15" fillId="0" borderId="21" xfId="0" applyFont="1" applyBorder="1"/>
    <xf numFmtId="10" fontId="15" fillId="0" borderId="7" xfId="0" applyNumberFormat="1" applyFont="1" applyBorder="1"/>
    <xf numFmtId="0" fontId="14" fillId="0" borderId="41" xfId="0" applyFont="1" applyBorder="1" applyAlignment="1"/>
    <xf numFmtId="0" fontId="15" fillId="0" borderId="35" xfId="0" applyFont="1" applyBorder="1" applyAlignment="1"/>
    <xf numFmtId="0" fontId="15" fillId="0" borderId="34" xfId="0" applyFont="1" applyBorder="1" applyAlignment="1"/>
    <xf numFmtId="0" fontId="15" fillId="0" borderId="38" xfId="0" applyFont="1" applyBorder="1" applyAlignment="1"/>
    <xf numFmtId="0" fontId="15" fillId="0" borderId="20" xfId="0" applyFont="1" applyBorder="1"/>
    <xf numFmtId="0" fontId="15" fillId="0" borderId="7" xfId="0" applyFont="1" applyBorder="1"/>
    <xf numFmtId="0" fontId="15" fillId="0" borderId="7" xfId="0" applyFont="1" applyBorder="1" applyAlignment="1"/>
    <xf numFmtId="0" fontId="15" fillId="0" borderId="40" xfId="0" applyFont="1" applyBorder="1" applyAlignment="1"/>
    <xf numFmtId="0" fontId="14" fillId="0" borderId="20" xfId="0" applyFont="1" applyBorder="1"/>
    <xf numFmtId="0" fontId="14" fillId="0" borderId="32" xfId="0" applyFont="1" applyBorder="1"/>
    <xf numFmtId="0" fontId="14" fillId="0" borderId="43" xfId="0" applyFont="1" applyBorder="1"/>
    <xf numFmtId="10" fontId="14" fillId="0" borderId="43" xfId="0" applyNumberFormat="1" applyFont="1" applyBorder="1"/>
    <xf numFmtId="0" fontId="14" fillId="0" borderId="25" xfId="0" applyFont="1" applyBorder="1"/>
    <xf numFmtId="0" fontId="14" fillId="0" borderId="24" xfId="0" applyFont="1" applyBorder="1"/>
    <xf numFmtId="0" fontId="11" fillId="7" borderId="20" xfId="0" applyFont="1" applyFill="1" applyBorder="1"/>
    <xf numFmtId="0" fontId="11" fillId="7" borderId="7" xfId="0" applyFont="1" applyFill="1" applyBorder="1"/>
    <xf numFmtId="0" fontId="11" fillId="7" borderId="21" xfId="0" applyFont="1" applyFill="1" applyBorder="1"/>
    <xf numFmtId="0" fontId="11" fillId="7" borderId="22" xfId="0" applyFont="1" applyFill="1" applyBorder="1"/>
    <xf numFmtId="1" fontId="10" fillId="0" borderId="0" xfId="0" applyNumberFormat="1" applyFont="1" applyBorder="1" applyAlignment="1">
      <alignment horizontal="center" vertical="center"/>
    </xf>
    <xf numFmtId="9" fontId="10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2" fontId="17" fillId="0" borderId="17" xfId="0" applyNumberFormat="1" applyFont="1" applyBorder="1" applyAlignment="1">
      <alignment horizontal="center" vertical="center"/>
    </xf>
    <xf numFmtId="0" fontId="6" fillId="4" borderId="7" xfId="0" applyFont="1" applyFill="1" applyBorder="1" applyAlignment="1">
      <alignment wrapText="1"/>
    </xf>
    <xf numFmtId="2" fontId="19" fillId="0" borderId="17" xfId="0" applyNumberFormat="1" applyFont="1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2" fontId="19" fillId="0" borderId="0" xfId="0" applyNumberFormat="1" applyFont="1" applyBorder="1" applyAlignment="1">
      <alignment horizontal="left" vertical="center"/>
    </xf>
    <xf numFmtId="2" fontId="17" fillId="0" borderId="0" xfId="0" applyNumberFormat="1" applyFont="1" applyBorder="1" applyAlignment="1">
      <alignment horizontal="center" vertical="center"/>
    </xf>
    <xf numFmtId="0" fontId="11" fillId="7" borderId="44" xfId="0" applyFont="1" applyFill="1" applyBorder="1"/>
    <xf numFmtId="0" fontId="0" fillId="6" borderId="7" xfId="0" applyFill="1" applyBorder="1"/>
    <xf numFmtId="0" fontId="0" fillId="0" borderId="7" xfId="0" applyBorder="1"/>
    <xf numFmtId="0" fontId="2" fillId="2" borderId="7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167" fontId="2" fillId="2" borderId="24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167" fontId="2" fillId="2" borderId="22" xfId="0" applyNumberFormat="1" applyFont="1" applyFill="1" applyBorder="1" applyAlignment="1">
      <alignment horizontal="center" vertical="center" wrapText="1"/>
    </xf>
    <xf numFmtId="0" fontId="21" fillId="0" borderId="0" xfId="0" applyFont="1"/>
    <xf numFmtId="0" fontId="23" fillId="0" borderId="7" xfId="0" applyFont="1" applyBorder="1" applyAlignment="1">
      <alignment horizontal="right" vertical="center"/>
    </xf>
    <xf numFmtId="0" fontId="23" fillId="0" borderId="20" xfId="0" applyFont="1" applyBorder="1" applyAlignment="1">
      <alignment vertical="center"/>
    </xf>
    <xf numFmtId="0" fontId="23" fillId="0" borderId="22" xfId="0" applyFont="1" applyBorder="1" applyAlignment="1">
      <alignment vertical="center"/>
    </xf>
    <xf numFmtId="0" fontId="8" fillId="0" borderId="36" xfId="0" applyFont="1" applyBorder="1" applyAlignment="1">
      <alignment wrapText="1"/>
    </xf>
    <xf numFmtId="0" fontId="0" fillId="0" borderId="23" xfId="0" applyBorder="1"/>
    <xf numFmtId="0" fontId="0" fillId="0" borderId="24" xfId="0" applyBorder="1"/>
    <xf numFmtId="3" fontId="0" fillId="0" borderId="7" xfId="0" applyNumberFormat="1" applyBorder="1"/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2" fillId="2" borderId="45" xfId="0" applyFont="1" applyFill="1" applyBorder="1" applyAlignment="1">
      <alignment horizontal="center" vertical="center" wrapText="1"/>
    </xf>
    <xf numFmtId="165" fontId="0" fillId="6" borderId="7" xfId="0" applyNumberFormat="1" applyFill="1" applyBorder="1"/>
    <xf numFmtId="169" fontId="0" fillId="6" borderId="7" xfId="0" applyNumberFormat="1" applyFill="1" applyBorder="1"/>
    <xf numFmtId="0" fontId="0" fillId="0" borderId="0" xfId="0" applyBorder="1" applyAlignment="1">
      <alignment horizontal="center" wrapText="1"/>
    </xf>
    <xf numFmtId="167" fontId="0" fillId="0" borderId="0" xfId="0" applyNumberFormat="1" applyBorder="1" applyAlignment="1">
      <alignment wrapText="1"/>
    </xf>
    <xf numFmtId="0" fontId="0" fillId="0" borderId="12" xfId="0" applyBorder="1"/>
    <xf numFmtId="3" fontId="0" fillId="0" borderId="12" xfId="0" applyNumberFormat="1" applyBorder="1"/>
    <xf numFmtId="0" fontId="0" fillId="0" borderId="47" xfId="0" applyBorder="1"/>
    <xf numFmtId="0" fontId="23" fillId="0" borderId="0" xfId="0" applyFont="1" applyBorder="1" applyAlignment="1">
      <alignment vertical="center"/>
    </xf>
    <xf numFmtId="0" fontId="23" fillId="0" borderId="0" xfId="0" applyFont="1" applyBorder="1" applyAlignment="1">
      <alignment horizontal="right" vertical="center"/>
    </xf>
    <xf numFmtId="2" fontId="23" fillId="0" borderId="7" xfId="0" applyNumberFormat="1" applyFont="1" applyBorder="1" applyAlignment="1">
      <alignment horizontal="right" vertical="center"/>
    </xf>
    <xf numFmtId="2" fontId="23" fillId="0" borderId="23" xfId="0" applyNumberFormat="1" applyFont="1" applyBorder="1" applyAlignment="1">
      <alignment horizontal="right" vertical="center"/>
    </xf>
    <xf numFmtId="2" fontId="2" fillId="2" borderId="45" xfId="0" applyNumberFormat="1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wrapText="1"/>
    </xf>
    <xf numFmtId="0" fontId="6" fillId="7" borderId="7" xfId="0" applyFont="1" applyFill="1" applyBorder="1" applyAlignment="1">
      <alignment horizontal="center"/>
    </xf>
    <xf numFmtId="3" fontId="6" fillId="7" borderId="7" xfId="0" applyNumberFormat="1" applyFont="1" applyFill="1" applyBorder="1" applyAlignment="1">
      <alignment horizontal="center"/>
    </xf>
    <xf numFmtId="0" fontId="0" fillId="7" borderId="0" xfId="0" applyFill="1"/>
    <xf numFmtId="4" fontId="14" fillId="7" borderId="7" xfId="0" applyNumberFormat="1" applyFont="1" applyFill="1" applyBorder="1" applyAlignment="1">
      <alignment wrapText="1"/>
    </xf>
    <xf numFmtId="4" fontId="6" fillId="7" borderId="7" xfId="0" applyNumberFormat="1" applyFont="1" applyFill="1" applyBorder="1" applyAlignment="1">
      <alignment horizontal="center"/>
    </xf>
    <xf numFmtId="4" fontId="0" fillId="0" borderId="7" xfId="0" applyNumberFormat="1" applyFont="1" applyBorder="1" applyAlignment="1">
      <alignment horizontal="left" wrapText="1"/>
    </xf>
    <xf numFmtId="4" fontId="0" fillId="0" borderId="7" xfId="0" applyNumberFormat="1" applyBorder="1" applyAlignment="1">
      <alignment horizontal="center"/>
    </xf>
    <xf numFmtId="4" fontId="0" fillId="0" borderId="7" xfId="0" applyNumberFormat="1" applyFont="1" applyBorder="1" applyAlignment="1">
      <alignment horizontal="right" wrapText="1"/>
    </xf>
    <xf numFmtId="4" fontId="0" fillId="0" borderId="7" xfId="0" applyNumberFormat="1" applyBorder="1"/>
    <xf numFmtId="4" fontId="0" fillId="0" borderId="10" xfId="0" applyNumberFormat="1" applyFont="1" applyBorder="1" applyAlignment="1">
      <alignment horizontal="left" wrapText="1"/>
    </xf>
    <xf numFmtId="4" fontId="0" fillId="0" borderId="13" xfId="0" applyNumberFormat="1" applyBorder="1" applyAlignment="1">
      <alignment horizontal="center"/>
    </xf>
    <xf numFmtId="4" fontId="0" fillId="0" borderId="10" xfId="0" applyNumberFormat="1" applyFont="1" applyBorder="1" applyAlignment="1">
      <alignment horizontal="right" wrapText="1"/>
    </xf>
    <xf numFmtId="4" fontId="13" fillId="0" borderId="10" xfId="0" applyNumberFormat="1" applyFont="1" applyFill="1" applyBorder="1" applyAlignment="1">
      <alignment horizontal="left" wrapText="1"/>
    </xf>
    <xf numFmtId="4" fontId="0" fillId="0" borderId="10" xfId="0" applyNumberFormat="1" applyFont="1" applyBorder="1"/>
    <xf numFmtId="4" fontId="0" fillId="0" borderId="0" xfId="0" applyNumberFormat="1" applyFont="1" applyAlignment="1">
      <alignment horizontal="right"/>
    </xf>
    <xf numFmtId="4" fontId="0" fillId="0" borderId="0" xfId="0" applyNumberFormat="1"/>
    <xf numFmtId="4" fontId="0" fillId="0" borderId="13" xfId="0" applyNumberFormat="1" applyFont="1" applyBorder="1" applyAlignment="1">
      <alignment horizontal="left" wrapText="1"/>
    </xf>
    <xf numFmtId="4" fontId="0" fillId="0" borderId="10" xfId="0" applyNumberFormat="1" applyFont="1" applyBorder="1" applyAlignment="1">
      <alignment horizontal="right"/>
    </xf>
    <xf numFmtId="4" fontId="0" fillId="7" borderId="7" xfId="0" applyNumberFormat="1" applyFont="1" applyFill="1" applyBorder="1" applyAlignment="1">
      <alignment wrapText="1"/>
    </xf>
    <xf numFmtId="4" fontId="0" fillId="0" borderId="7" xfId="0" applyNumberFormat="1" applyFont="1" applyBorder="1" applyAlignment="1">
      <alignment horizontal="right"/>
    </xf>
    <xf numFmtId="4" fontId="0" fillId="0" borderId="13" xfId="0" applyNumberFormat="1" applyFont="1" applyBorder="1" applyAlignment="1">
      <alignment horizontal="right"/>
    </xf>
    <xf numFmtId="4" fontId="0" fillId="0" borderId="7" xfId="0" applyNumberFormat="1" applyFont="1" applyBorder="1" applyAlignment="1">
      <alignment wrapText="1"/>
    </xf>
    <xf numFmtId="4" fontId="0" fillId="0" borderId="7" xfId="0" applyNumberFormat="1" applyFont="1" applyFill="1" applyBorder="1" applyAlignment="1">
      <alignment horizontal="left" wrapText="1"/>
    </xf>
    <xf numFmtId="4" fontId="8" fillId="0" borderId="10" xfId="0" applyNumberFormat="1" applyFont="1" applyBorder="1" applyAlignment="1">
      <alignment horizontal="center"/>
    </xf>
    <xf numFmtId="4" fontId="8" fillId="0" borderId="10" xfId="0" applyNumberFormat="1" applyFont="1" applyBorder="1" applyAlignment="1">
      <alignment horizontal="right"/>
    </xf>
    <xf numFmtId="4" fontId="1" fillId="7" borderId="7" xfId="0" applyNumberFormat="1" applyFont="1" applyFill="1" applyBorder="1" applyAlignment="1">
      <alignment wrapText="1"/>
    </xf>
    <xf numFmtId="0" fontId="24" fillId="2" borderId="2" xfId="0" applyFont="1" applyFill="1" applyBorder="1" applyAlignment="1">
      <alignment horizontal="center" vertical="center" wrapText="1"/>
    </xf>
    <xf numFmtId="4" fontId="25" fillId="7" borderId="7" xfId="0" applyNumberFormat="1" applyFont="1" applyFill="1" applyBorder="1" applyAlignment="1">
      <alignment horizontal="center"/>
    </xf>
    <xf numFmtId="4" fontId="11" fillId="0" borderId="7" xfId="0" applyNumberFormat="1" applyFont="1" applyBorder="1" applyAlignment="1">
      <alignment horizontal="center" wrapText="1"/>
    </xf>
    <xf numFmtId="4" fontId="15" fillId="7" borderId="7" xfId="0" applyNumberFormat="1" applyFont="1" applyFill="1" applyBorder="1" applyAlignment="1">
      <alignment wrapText="1"/>
    </xf>
    <xf numFmtId="0" fontId="8" fillId="0" borderId="7" xfId="0" applyFont="1" applyBorder="1" applyAlignment="1">
      <alignment wrapText="1"/>
    </xf>
    <xf numFmtId="3" fontId="8" fillId="0" borderId="7" xfId="0" applyNumberFormat="1" applyFont="1" applyBorder="1" applyAlignment="1">
      <alignment horizontal="right"/>
    </xf>
    <xf numFmtId="3" fontId="0" fillId="0" borderId="7" xfId="0" applyNumberFormat="1" applyBorder="1" applyAlignment="1">
      <alignment horizontal="right"/>
    </xf>
    <xf numFmtId="0" fontId="25" fillId="8" borderId="50" xfId="0" applyFont="1" applyFill="1" applyBorder="1"/>
    <xf numFmtId="1" fontId="0" fillId="0" borderId="0" xfId="0" applyNumberFormat="1"/>
    <xf numFmtId="1" fontId="6" fillId="4" borderId="7" xfId="0" applyNumberFormat="1" applyFont="1" applyFill="1" applyBorder="1" applyAlignment="1">
      <alignment horizontal="center"/>
    </xf>
    <xf numFmtId="1" fontId="6" fillId="7" borderId="7" xfId="0" applyNumberFormat="1" applyFont="1" applyFill="1" applyBorder="1" applyAlignment="1">
      <alignment horizontal="center"/>
    </xf>
    <xf numFmtId="1" fontId="0" fillId="0" borderId="7" xfId="0" applyNumberFormat="1" applyFont="1" applyBorder="1" applyAlignment="1">
      <alignment horizontal="right" wrapText="1"/>
    </xf>
    <xf numFmtId="1" fontId="0" fillId="0" borderId="13" xfId="0" applyNumberFormat="1" applyFont="1" applyBorder="1" applyAlignment="1">
      <alignment horizontal="right" wrapText="1"/>
    </xf>
    <xf numFmtId="1" fontId="0" fillId="0" borderId="10" xfId="0" applyNumberFormat="1" applyFont="1" applyBorder="1" applyAlignment="1">
      <alignment horizontal="right" wrapText="1"/>
    </xf>
    <xf numFmtId="1" fontId="25" fillId="8" borderId="50" xfId="0" applyNumberFormat="1" applyFont="1" applyFill="1" applyBorder="1"/>
    <xf numFmtId="1" fontId="0" fillId="0" borderId="37" xfId="0" applyNumberFormat="1" applyBorder="1"/>
    <xf numFmtId="167" fontId="0" fillId="0" borderId="0" xfId="0" applyNumberFormat="1"/>
    <xf numFmtId="2" fontId="0" fillId="0" borderId="0" xfId="0" applyNumberFormat="1"/>
    <xf numFmtId="0" fontId="0" fillId="0" borderId="0" xfId="0" applyBorder="1"/>
    <xf numFmtId="4" fontId="26" fillId="0" borderId="0" xfId="0" applyNumberFormat="1" applyFont="1"/>
    <xf numFmtId="168" fontId="15" fillId="5" borderId="7" xfId="0" applyNumberFormat="1" applyFont="1" applyFill="1" applyBorder="1"/>
    <xf numFmtId="169" fontId="15" fillId="6" borderId="7" xfId="0" applyNumberFormat="1" applyFont="1" applyFill="1" applyBorder="1"/>
    <xf numFmtId="0" fontId="14" fillId="0" borderId="7" xfId="3" applyNumberFormat="1" applyFont="1" applyBorder="1"/>
    <xf numFmtId="0" fontId="29" fillId="0" borderId="0" xfId="0" applyFont="1"/>
    <xf numFmtId="4" fontId="25" fillId="7" borderId="9" xfId="0" applyNumberFormat="1" applyFont="1" applyFill="1" applyBorder="1" applyAlignment="1"/>
    <xf numFmtId="4" fontId="25" fillId="7" borderId="11" xfId="0" applyNumberFormat="1" applyFont="1" applyFill="1" applyBorder="1" applyAlignment="1"/>
    <xf numFmtId="10" fontId="11" fillId="0" borderId="21" xfId="0" applyNumberFormat="1" applyFont="1" applyBorder="1"/>
    <xf numFmtId="1" fontId="11" fillId="0" borderId="24" xfId="0" applyNumberFormat="1" applyFont="1" applyBorder="1"/>
    <xf numFmtId="0" fontId="0" fillId="0" borderId="7" xfId="0" applyBorder="1" applyAlignment="1">
      <alignment horizontal="center"/>
    </xf>
    <xf numFmtId="0" fontId="11" fillId="7" borderId="23" xfId="0" applyFont="1" applyFill="1" applyBorder="1"/>
    <xf numFmtId="0" fontId="11" fillId="7" borderId="24" xfId="0" applyFont="1" applyFill="1" applyBorder="1"/>
    <xf numFmtId="9" fontId="10" fillId="7" borderId="2" xfId="0" applyNumberFormat="1" applyFont="1" applyFill="1" applyBorder="1" applyAlignment="1">
      <alignment horizontal="center" vertical="center"/>
    </xf>
    <xf numFmtId="10" fontId="0" fillId="7" borderId="22" xfId="0" applyNumberFormat="1" applyFill="1" applyBorder="1"/>
    <xf numFmtId="164" fontId="15" fillId="5" borderId="7" xfId="0" applyNumberFormat="1" applyFont="1" applyFill="1" applyBorder="1"/>
    <xf numFmtId="0" fontId="15" fillId="0" borderId="7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/>
    </xf>
    <xf numFmtId="0" fontId="0" fillId="0" borderId="12" xfId="0" applyFill="1" applyBorder="1"/>
    <xf numFmtId="3" fontId="0" fillId="0" borderId="12" xfId="0" applyNumberFormat="1" applyFill="1" applyBorder="1"/>
    <xf numFmtId="0" fontId="8" fillId="0" borderId="20" xfId="0" applyFont="1" applyFill="1" applyBorder="1" applyAlignment="1">
      <alignment horizontal="center"/>
    </xf>
    <xf numFmtId="0" fontId="0" fillId="0" borderId="7" xfId="0" applyFill="1" applyBorder="1"/>
    <xf numFmtId="3" fontId="0" fillId="0" borderId="7" xfId="0" applyNumberFormat="1" applyFill="1" applyBorder="1"/>
    <xf numFmtId="0" fontId="0" fillId="0" borderId="23" xfId="0" applyFill="1" applyBorder="1"/>
    <xf numFmtId="0" fontId="0" fillId="0" borderId="52" xfId="0" applyBorder="1" applyAlignment="1">
      <alignment wrapText="1"/>
    </xf>
    <xf numFmtId="0" fontId="2" fillId="2" borderId="9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10" fontId="0" fillId="9" borderId="25" xfId="0" applyNumberFormat="1" applyFill="1" applyBorder="1"/>
    <xf numFmtId="10" fontId="0" fillId="9" borderId="24" xfId="0" applyNumberFormat="1" applyFill="1" applyBorder="1"/>
    <xf numFmtId="10" fontId="0" fillId="9" borderId="23" xfId="0" applyNumberFormat="1" applyFill="1" applyBorder="1"/>
    <xf numFmtId="4" fontId="0" fillId="9" borderId="7" xfId="0" applyNumberFormat="1" applyFont="1" applyFill="1" applyBorder="1" applyAlignment="1">
      <alignment horizontal="right" wrapText="1"/>
    </xf>
    <xf numFmtId="4" fontId="0" fillId="0" borderId="7" xfId="0" applyNumberFormat="1" applyFont="1" applyFill="1" applyBorder="1" applyAlignment="1">
      <alignment horizontal="right" wrapText="1"/>
    </xf>
    <xf numFmtId="4" fontId="0" fillId="9" borderId="10" xfId="0" applyNumberFormat="1" applyFont="1" applyFill="1" applyBorder="1" applyAlignment="1">
      <alignment horizontal="right" wrapText="1"/>
    </xf>
    <xf numFmtId="3" fontId="0" fillId="9" borderId="12" xfId="0" applyNumberFormat="1" applyFill="1" applyBorder="1"/>
    <xf numFmtId="0" fontId="8" fillId="9" borderId="22" xfId="0" applyFont="1" applyFill="1" applyBorder="1"/>
    <xf numFmtId="3" fontId="8" fillId="9" borderId="23" xfId="0" applyNumberFormat="1" applyFont="1" applyFill="1" applyBorder="1"/>
    <xf numFmtId="0" fontId="0" fillId="0" borderId="0" xfId="0" applyAlignment="1">
      <alignment vertical="top"/>
    </xf>
    <xf numFmtId="166" fontId="8" fillId="5" borderId="7" xfId="2" applyFont="1" applyFill="1" applyBorder="1" applyAlignment="1">
      <alignment textRotation="90" wrapText="1"/>
    </xf>
    <xf numFmtId="166" fontId="8" fillId="11" borderId="7" xfId="2" applyFont="1" applyFill="1" applyBorder="1" applyAlignment="1">
      <alignment textRotation="90" wrapText="1"/>
    </xf>
    <xf numFmtId="166" fontId="8" fillId="10" borderId="7" xfId="2" applyFont="1" applyFill="1" applyBorder="1" applyAlignment="1">
      <alignment textRotation="90" wrapText="1"/>
    </xf>
    <xf numFmtId="166" fontId="8" fillId="10" borderId="12" xfId="2" applyFont="1" applyFill="1" applyBorder="1" applyAlignment="1">
      <alignment textRotation="90" wrapText="1"/>
    </xf>
    <xf numFmtId="165" fontId="14" fillId="3" borderId="7" xfId="0" applyNumberFormat="1" applyFont="1" applyFill="1" applyBorder="1"/>
    <xf numFmtId="165" fontId="0" fillId="11" borderId="7" xfId="0" applyNumberFormat="1" applyFill="1" applyBorder="1"/>
    <xf numFmtId="165" fontId="0" fillId="10" borderId="7" xfId="0" applyNumberFormat="1" applyFill="1" applyBorder="1"/>
    <xf numFmtId="169" fontId="0" fillId="6" borderId="7" xfId="0" applyNumberFormat="1" applyFont="1" applyFill="1" applyBorder="1" applyAlignment="1"/>
    <xf numFmtId="165" fontId="8" fillId="10" borderId="7" xfId="0" applyNumberFormat="1" applyFont="1" applyFill="1" applyBorder="1"/>
    <xf numFmtId="0" fontId="7" fillId="0" borderId="0" xfId="0" applyFont="1"/>
    <xf numFmtId="166" fontId="5" fillId="0" borderId="12" xfId="2" applyFont="1" applyFill="1" applyBorder="1" applyAlignment="1">
      <alignment textRotation="90" wrapText="1"/>
    </xf>
    <xf numFmtId="166" fontId="14" fillId="0" borderId="12" xfId="2" applyFont="1" applyFill="1" applyBorder="1" applyAlignment="1">
      <alignment textRotation="90" wrapText="1"/>
    </xf>
    <xf numFmtId="166" fontId="14" fillId="5" borderId="12" xfId="2" applyFont="1" applyFill="1" applyBorder="1" applyAlignment="1">
      <alignment textRotation="90" wrapText="1"/>
    </xf>
    <xf numFmtId="166" fontId="14" fillId="6" borderId="12" xfId="2" applyFont="1" applyFill="1" applyBorder="1" applyAlignment="1">
      <alignment textRotation="90" wrapText="1"/>
    </xf>
    <xf numFmtId="166" fontId="14" fillId="6" borderId="7" xfId="2" applyFont="1" applyFill="1" applyBorder="1" applyAlignment="1">
      <alignment textRotation="90" wrapText="1"/>
    </xf>
    <xf numFmtId="166" fontId="14" fillId="3" borderId="7" xfId="2" applyFont="1" applyFill="1" applyBorder="1" applyAlignment="1">
      <alignment textRotation="90" wrapText="1"/>
    </xf>
    <xf numFmtId="165" fontId="15" fillId="0" borderId="7" xfId="0" applyNumberFormat="1" applyFont="1" applyBorder="1"/>
    <xf numFmtId="164" fontId="15" fillId="0" borderId="7" xfId="0" applyNumberFormat="1" applyFont="1" applyBorder="1"/>
    <xf numFmtId="165" fontId="15" fillId="5" borderId="7" xfId="0" applyNumberFormat="1" applyFont="1" applyFill="1" applyBorder="1"/>
    <xf numFmtId="165" fontId="14" fillId="5" borderId="7" xfId="0" applyNumberFormat="1" applyFont="1" applyFill="1" applyBorder="1"/>
    <xf numFmtId="0" fontId="15" fillId="6" borderId="7" xfId="0" applyFont="1" applyFill="1" applyBorder="1"/>
    <xf numFmtId="169" fontId="14" fillId="6" borderId="7" xfId="0" applyNumberFormat="1" applyFont="1" applyFill="1" applyBorder="1"/>
    <xf numFmtId="0" fontId="7" fillId="6" borderId="7" xfId="0" applyFont="1" applyFill="1" applyBorder="1"/>
    <xf numFmtId="165" fontId="7" fillId="6" borderId="7" xfId="0" applyNumberFormat="1" applyFont="1" applyFill="1" applyBorder="1"/>
    <xf numFmtId="169" fontId="7" fillId="6" borderId="7" xfId="0" applyNumberFormat="1" applyFont="1" applyFill="1" applyBorder="1"/>
    <xf numFmtId="0" fontId="14" fillId="0" borderId="0" xfId="0" applyFont="1"/>
    <xf numFmtId="0" fontId="5" fillId="0" borderId="0" xfId="0" applyFont="1"/>
    <xf numFmtId="164" fontId="5" fillId="5" borderId="0" xfId="0" applyNumberFormat="1" applyFont="1" applyFill="1"/>
    <xf numFmtId="0" fontId="5" fillId="5" borderId="0" xfId="0" applyFont="1" applyFill="1"/>
    <xf numFmtId="165" fontId="14" fillId="5" borderId="13" xfId="0" applyNumberFormat="1" applyFont="1" applyFill="1" applyBorder="1"/>
    <xf numFmtId="169" fontId="14" fillId="6" borderId="13" xfId="0" applyNumberFormat="1" applyFont="1" applyFill="1" applyBorder="1"/>
    <xf numFmtId="166" fontId="8" fillId="5" borderId="12" xfId="6" applyFont="1" applyFill="1" applyBorder="1" applyAlignment="1">
      <alignment textRotation="90" wrapText="1"/>
    </xf>
    <xf numFmtId="10" fontId="15" fillId="5" borderId="7" xfId="0" applyNumberFormat="1" applyFont="1" applyFill="1" applyBorder="1"/>
    <xf numFmtId="0" fontId="0" fillId="9" borderId="0" xfId="0" applyFill="1"/>
    <xf numFmtId="2" fontId="0" fillId="9" borderId="23" xfId="0" applyNumberFormat="1" applyFill="1" applyBorder="1"/>
    <xf numFmtId="0" fontId="15" fillId="9" borderId="20" xfId="0" applyFont="1" applyFill="1" applyBorder="1" applyAlignment="1">
      <alignment horizontal="center"/>
    </xf>
    <xf numFmtId="0" fontId="7" fillId="9" borderId="7" xfId="0" applyFont="1" applyFill="1" applyBorder="1" applyAlignment="1">
      <alignment horizontal="center"/>
    </xf>
    <xf numFmtId="0" fontId="0" fillId="9" borderId="7" xfId="0" applyFill="1" applyBorder="1" applyAlignment="1">
      <alignment horizontal="center"/>
    </xf>
    <xf numFmtId="0" fontId="0" fillId="9" borderId="21" xfId="0" applyFill="1" applyBorder="1" applyAlignment="1">
      <alignment horizontal="center"/>
    </xf>
    <xf numFmtId="2" fontId="0" fillId="9" borderId="20" xfId="0" applyNumberFormat="1" applyFill="1" applyBorder="1"/>
    <xf numFmtId="2" fontId="0" fillId="9" borderId="7" xfId="0" applyNumberFormat="1" applyFill="1" applyBorder="1"/>
    <xf numFmtId="2" fontId="0" fillId="9" borderId="21" xfId="0" applyNumberFormat="1" applyFill="1" applyBorder="1"/>
    <xf numFmtId="0" fontId="0" fillId="9" borderId="54" xfId="0" applyFill="1" applyBorder="1" applyAlignment="1">
      <alignment horizontal="center"/>
    </xf>
    <xf numFmtId="0" fontId="0" fillId="9" borderId="0" xfId="0" applyFill="1" applyBorder="1" applyAlignment="1">
      <alignment horizontal="center"/>
    </xf>
    <xf numFmtId="10" fontId="0" fillId="9" borderId="54" xfId="0" applyNumberFormat="1" applyFill="1" applyBorder="1"/>
    <xf numFmtId="0" fontId="15" fillId="9" borderId="7" xfId="0" applyFont="1" applyFill="1" applyBorder="1" applyAlignment="1">
      <alignment horizontal="center"/>
    </xf>
    <xf numFmtId="2" fontId="0" fillId="9" borderId="22" xfId="0" applyNumberFormat="1" applyFill="1" applyBorder="1"/>
    <xf numFmtId="2" fontId="0" fillId="9" borderId="22" xfId="0" applyNumberFormat="1" applyFill="1" applyBorder="1" applyAlignment="1">
      <alignment horizontal="center"/>
    </xf>
    <xf numFmtId="2" fontId="0" fillId="9" borderId="24" xfId="0" applyNumberFormat="1" applyFill="1" applyBorder="1"/>
    <xf numFmtId="0" fontId="11" fillId="9" borderId="42" xfId="0" applyFont="1" applyFill="1" applyBorder="1"/>
    <xf numFmtId="0" fontId="11" fillId="9" borderId="13" xfId="0" applyFont="1" applyFill="1" applyBorder="1"/>
    <xf numFmtId="0" fontId="11" fillId="9" borderId="37" xfId="0" applyFont="1" applyFill="1" applyBorder="1"/>
    <xf numFmtId="171" fontId="11" fillId="9" borderId="28" xfId="0" applyNumberFormat="1" applyFont="1" applyFill="1" applyBorder="1"/>
    <xf numFmtId="4" fontId="0" fillId="3" borderId="7" xfId="0" applyNumberFormat="1" applyFont="1" applyFill="1" applyBorder="1" applyAlignment="1">
      <alignment horizontal="right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/>
    </xf>
    <xf numFmtId="0" fontId="14" fillId="6" borderId="9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 wrapText="1"/>
    </xf>
    <xf numFmtId="3" fontId="6" fillId="4" borderId="33" xfId="0" applyNumberFormat="1" applyFont="1" applyFill="1" applyBorder="1" applyAlignment="1">
      <alignment horizontal="center"/>
    </xf>
    <xf numFmtId="3" fontId="6" fillId="4" borderId="8" xfId="0" applyNumberFormat="1" applyFont="1" applyFill="1" applyBorder="1" applyAlignment="1">
      <alignment horizontal="center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" fontId="10" fillId="0" borderId="16" xfId="0" applyNumberFormat="1" applyFont="1" applyBorder="1" applyAlignment="1">
      <alignment horizontal="center" vertical="center"/>
    </xf>
    <xf numFmtId="1" fontId="10" fillId="0" borderId="18" xfId="0" applyNumberFormat="1" applyFont="1" applyBorder="1" applyAlignment="1">
      <alignment horizontal="center" vertical="center"/>
    </xf>
    <xf numFmtId="0" fontId="20" fillId="7" borderId="19" xfId="0" applyFont="1" applyFill="1" applyBorder="1" applyAlignment="1">
      <alignment horizontal="center" vertical="center" wrapText="1"/>
    </xf>
    <xf numFmtId="0" fontId="20" fillId="7" borderId="5" xfId="0" applyFont="1" applyFill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9" fontId="10" fillId="0" borderId="16" xfId="0" applyNumberFormat="1" applyFont="1" applyBorder="1" applyAlignment="1">
      <alignment horizontal="center" vertical="center"/>
    </xf>
    <xf numFmtId="9" fontId="10" fillId="0" borderId="18" xfId="0" applyNumberFormat="1" applyFont="1" applyBorder="1" applyAlignment="1">
      <alignment horizontal="center" vertical="center"/>
    </xf>
    <xf numFmtId="9" fontId="10" fillId="0" borderId="2" xfId="0" applyNumberFormat="1" applyFont="1" applyBorder="1" applyAlignment="1">
      <alignment horizontal="center" vertical="center"/>
    </xf>
    <xf numFmtId="0" fontId="0" fillId="0" borderId="14" xfId="0" applyFill="1" applyBorder="1" applyAlignment="1">
      <alignment horizontal="center" wrapText="1"/>
    </xf>
    <xf numFmtId="0" fontId="0" fillId="0" borderId="15" xfId="0" applyFill="1" applyBorder="1" applyAlignment="1">
      <alignment horizontal="center" wrapText="1"/>
    </xf>
    <xf numFmtId="0" fontId="0" fillId="0" borderId="17" xfId="0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0" fillId="0" borderId="19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9" fontId="10" fillId="0" borderId="16" xfId="0" applyNumberFormat="1" applyFont="1" applyFill="1" applyBorder="1" applyAlignment="1">
      <alignment horizontal="center" vertical="center"/>
    </xf>
    <xf numFmtId="9" fontId="10" fillId="0" borderId="18" xfId="0" applyNumberFormat="1" applyFont="1" applyFill="1" applyBorder="1" applyAlignment="1">
      <alignment horizontal="center" vertical="center"/>
    </xf>
    <xf numFmtId="9" fontId="10" fillId="0" borderId="2" xfId="0" applyNumberFormat="1" applyFont="1" applyFill="1" applyBorder="1" applyAlignment="1">
      <alignment horizontal="center" vertical="center"/>
    </xf>
    <xf numFmtId="0" fontId="11" fillId="7" borderId="26" xfId="0" applyFont="1" applyFill="1" applyBorder="1" applyAlignment="1">
      <alignment horizontal="center"/>
    </xf>
    <xf numFmtId="0" fontId="11" fillId="7" borderId="27" xfId="0" applyFont="1" applyFill="1" applyBorder="1" applyAlignment="1">
      <alignment horizontal="center"/>
    </xf>
    <xf numFmtId="0" fontId="11" fillId="7" borderId="28" xfId="0" applyFont="1" applyFill="1" applyBorder="1" applyAlignment="1">
      <alignment horizontal="center"/>
    </xf>
    <xf numFmtId="0" fontId="15" fillId="0" borderId="31" xfId="0" applyFont="1" applyBorder="1" applyAlignment="1">
      <alignment horizontal="left"/>
    </xf>
    <xf numFmtId="0" fontId="15" fillId="0" borderId="10" xfId="0" applyFont="1" applyBorder="1" applyAlignment="1">
      <alignment horizontal="left"/>
    </xf>
    <xf numFmtId="0" fontId="15" fillId="0" borderId="11" xfId="0" applyFont="1" applyBorder="1" applyAlignment="1">
      <alignment horizontal="left"/>
    </xf>
    <xf numFmtId="0" fontId="14" fillId="0" borderId="31" xfId="0" applyFont="1" applyBorder="1" applyAlignment="1">
      <alignment horizontal="left"/>
    </xf>
    <xf numFmtId="0" fontId="14" fillId="0" borderId="10" xfId="0" applyFont="1" applyBorder="1" applyAlignment="1">
      <alignment horizontal="left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15" fillId="0" borderId="39" xfId="0" applyFont="1" applyBorder="1" applyAlignment="1">
      <alignment horizontal="left" wrapText="1"/>
    </xf>
    <xf numFmtId="0" fontId="15" fillId="0" borderId="8" xfId="0" applyFont="1" applyBorder="1" applyAlignment="1">
      <alignment horizontal="left" wrapText="1"/>
    </xf>
    <xf numFmtId="0" fontId="15" fillId="0" borderId="40" xfId="0" applyFont="1" applyBorder="1" applyAlignment="1">
      <alignment horizontal="left" wrapText="1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7" borderId="14" xfId="0" applyFont="1" applyFill="1" applyBorder="1" applyAlignment="1">
      <alignment horizontal="center"/>
    </xf>
    <xf numFmtId="0" fontId="8" fillId="7" borderId="15" xfId="0" applyFont="1" applyFill="1" applyBorder="1" applyAlignment="1">
      <alignment horizontal="center"/>
    </xf>
    <xf numFmtId="0" fontId="8" fillId="7" borderId="16" xfId="0" applyFont="1" applyFill="1" applyBorder="1" applyAlignment="1">
      <alignment horizontal="center"/>
    </xf>
    <xf numFmtId="0" fontId="15" fillId="0" borderId="19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71" fontId="0" fillId="9" borderId="16" xfId="0" applyNumberFormat="1" applyFont="1" applyFill="1" applyBorder="1" applyAlignment="1">
      <alignment horizontal="center" vertical="center"/>
    </xf>
    <xf numFmtId="171" fontId="0" fillId="9" borderId="2" xfId="0" applyNumberFormat="1" applyFont="1" applyFill="1" applyBorder="1" applyAlignment="1">
      <alignment horizontal="center" vertical="center"/>
    </xf>
    <xf numFmtId="0" fontId="8" fillId="7" borderId="36" xfId="0" applyFont="1" applyFill="1" applyBorder="1" applyAlignment="1">
      <alignment horizontal="center"/>
    </xf>
    <xf numFmtId="0" fontId="8" fillId="7" borderId="29" xfId="0" applyFont="1" applyFill="1" applyBorder="1" applyAlignment="1">
      <alignment horizontal="center"/>
    </xf>
    <xf numFmtId="0" fontId="8" fillId="7" borderId="30" xfId="0" applyFont="1" applyFill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0" borderId="14" xfId="0" applyFont="1" applyBorder="1" applyAlignment="1">
      <alignment horizontal="center" wrapText="1"/>
    </xf>
    <xf numFmtId="0" fontId="11" fillId="0" borderId="48" xfId="0" applyFont="1" applyBorder="1" applyAlignment="1">
      <alignment horizontal="center" wrapText="1"/>
    </xf>
    <xf numFmtId="0" fontId="11" fillId="0" borderId="39" xfId="0" applyFont="1" applyBorder="1" applyAlignment="1">
      <alignment horizontal="center" wrapText="1"/>
    </xf>
    <xf numFmtId="0" fontId="11" fillId="0" borderId="40" xfId="0" applyFont="1" applyBorder="1" applyAlignment="1">
      <alignment horizontal="center" wrapText="1"/>
    </xf>
    <xf numFmtId="0" fontId="0" fillId="9" borderId="14" xfId="0" applyFill="1" applyBorder="1" applyAlignment="1">
      <alignment horizontal="center" vertical="center" wrapText="1"/>
    </xf>
    <xf numFmtId="0" fontId="0" fillId="9" borderId="15" xfId="0" applyFill="1" applyBorder="1" applyAlignment="1">
      <alignment horizontal="center" vertical="center" wrapText="1"/>
    </xf>
    <xf numFmtId="0" fontId="0" fillId="9" borderId="17" xfId="0" applyFill="1" applyBorder="1" applyAlignment="1">
      <alignment horizontal="center" vertical="center" wrapText="1"/>
    </xf>
    <xf numFmtId="0" fontId="0" fillId="9" borderId="0" xfId="0" applyFill="1" applyBorder="1" applyAlignment="1">
      <alignment horizontal="center" vertical="center" wrapText="1"/>
    </xf>
    <xf numFmtId="0" fontId="0" fillId="9" borderId="19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167" fontId="10" fillId="9" borderId="16" xfId="0" applyNumberFormat="1" applyFont="1" applyFill="1" applyBorder="1" applyAlignment="1">
      <alignment horizontal="center" vertical="center"/>
    </xf>
    <xf numFmtId="167" fontId="10" fillId="9" borderId="18" xfId="0" applyNumberFormat="1" applyFont="1" applyFill="1" applyBorder="1" applyAlignment="1">
      <alignment horizontal="center" vertical="center"/>
    </xf>
    <xf numFmtId="167" fontId="10" fillId="9" borderId="2" xfId="0" applyNumberFormat="1" applyFont="1" applyFill="1" applyBorder="1" applyAlignment="1">
      <alignment horizontal="center" vertical="center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5" xfId="0" applyFont="1" applyBorder="1" applyAlignment="1">
      <alignment horizontal="center" wrapText="1"/>
    </xf>
    <xf numFmtId="0" fontId="11" fillId="0" borderId="19" xfId="0" applyFont="1" applyBorder="1" applyAlignment="1">
      <alignment horizontal="center" wrapText="1"/>
    </xf>
    <xf numFmtId="0" fontId="11" fillId="0" borderId="49" xfId="0" applyFont="1" applyBorder="1" applyAlignment="1">
      <alignment horizontal="center" wrapText="1"/>
    </xf>
    <xf numFmtId="170" fontId="10" fillId="0" borderId="16" xfId="0" applyNumberFormat="1" applyFont="1" applyBorder="1" applyAlignment="1">
      <alignment horizontal="center" vertical="center"/>
    </xf>
    <xf numFmtId="170" fontId="10" fillId="0" borderId="18" xfId="0" applyNumberFormat="1" applyFont="1" applyBorder="1" applyAlignment="1">
      <alignment horizontal="center" vertical="center"/>
    </xf>
    <xf numFmtId="170" fontId="10" fillId="0" borderId="2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7" fontId="10" fillId="0" borderId="16" xfId="0" applyNumberFormat="1" applyFont="1" applyBorder="1" applyAlignment="1">
      <alignment horizontal="center" vertical="center"/>
    </xf>
    <xf numFmtId="167" fontId="10" fillId="0" borderId="18" xfId="0" applyNumberFormat="1" applyFont="1" applyBorder="1" applyAlignment="1">
      <alignment horizontal="center" vertical="center"/>
    </xf>
    <xf numFmtId="167" fontId="10" fillId="0" borderId="2" xfId="0" applyNumberFormat="1" applyFont="1" applyBorder="1" applyAlignment="1">
      <alignment horizontal="center" vertical="center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8" fillId="0" borderId="36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22" fillId="0" borderId="5" xfId="0" applyFont="1" applyBorder="1" applyAlignment="1">
      <alignment vertical="center"/>
    </xf>
    <xf numFmtId="0" fontId="21" fillId="0" borderId="26" xfId="0" applyFont="1" applyBorder="1" applyAlignment="1">
      <alignment horizontal="center"/>
    </xf>
    <xf numFmtId="0" fontId="21" fillId="0" borderId="27" xfId="0" applyFont="1" applyBorder="1" applyAlignment="1">
      <alignment horizontal="center"/>
    </xf>
    <xf numFmtId="0" fontId="21" fillId="0" borderId="53" xfId="0" applyFont="1" applyBorder="1" applyAlignment="1">
      <alignment horizontal="center"/>
    </xf>
  </cellXfs>
  <cellStyles count="7">
    <cellStyle name="Dziesiętny" xfId="3" builtinId="3"/>
    <cellStyle name="Dziesiętny 2" xfId="2" xr:uid="{00000000-0005-0000-0000-000001000000}"/>
    <cellStyle name="Dziesiętny 2 2" xfId="5" xr:uid="{00000000-0005-0000-0000-000002000000}"/>
    <cellStyle name="Dziesiętny 2 3" xfId="6" xr:uid="{72D74332-AB6C-4684-BA39-272DAFE6817D}"/>
    <cellStyle name="Dziesiętny 3" xfId="1" xr:uid="{00000000-0005-0000-0000-000003000000}"/>
    <cellStyle name="Dziesiętny 4" xfId="4" xr:uid="{00000000-0005-0000-0000-000004000000}"/>
    <cellStyle name="Normalny" xfId="0" builtinId="0"/>
  </cellStyles>
  <dxfs count="1">
    <dxf>
      <font>
        <color rgb="FFFF0000"/>
      </font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44"/>
  <sheetViews>
    <sheetView topLeftCell="C1" zoomScale="115" zoomScaleNormal="115" workbookViewId="0">
      <selection activeCell="K31" sqref="K31"/>
    </sheetView>
  </sheetViews>
  <sheetFormatPr defaultRowHeight="15" x14ac:dyDescent="0.25"/>
  <cols>
    <col min="2" max="2" width="33.140625" bestFit="1" customWidth="1"/>
    <col min="3" max="3" width="19" style="28" customWidth="1"/>
    <col min="4" max="4" width="7.85546875" bestFit="1" customWidth="1"/>
    <col min="5" max="13" width="6.85546875" customWidth="1"/>
    <col min="14" max="14" width="6.85546875" style="43" customWidth="1"/>
    <col min="15" max="15" width="10" customWidth="1"/>
    <col min="17" max="17" width="9.85546875" customWidth="1"/>
  </cols>
  <sheetData>
    <row r="1" spans="3:15" ht="15.75" thickBot="1" x14ac:dyDescent="0.3"/>
    <row r="2" spans="3:15" ht="15.75" thickBot="1" x14ac:dyDescent="0.3">
      <c r="C2" s="273" t="s">
        <v>110</v>
      </c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5"/>
    </row>
    <row r="3" spans="3:15" ht="30" x14ac:dyDescent="0.25">
      <c r="C3" s="113"/>
      <c r="D3" s="33">
        <v>0</v>
      </c>
      <c r="E3" s="33">
        <v>1</v>
      </c>
      <c r="F3" s="33">
        <v>2</v>
      </c>
      <c r="G3" s="33">
        <v>3</v>
      </c>
      <c r="H3" s="33">
        <v>4</v>
      </c>
      <c r="I3" s="33">
        <v>5</v>
      </c>
      <c r="J3" s="33">
        <v>6</v>
      </c>
      <c r="K3" s="33">
        <v>7</v>
      </c>
      <c r="L3" s="33">
        <v>8</v>
      </c>
      <c r="M3" s="33">
        <v>9</v>
      </c>
      <c r="N3" s="200">
        <v>10</v>
      </c>
      <c r="O3" s="34" t="s">
        <v>0</v>
      </c>
    </row>
    <row r="4" spans="3:15" ht="30" x14ac:dyDescent="0.25">
      <c r="C4" s="114" t="s">
        <v>1</v>
      </c>
      <c r="D4" s="32">
        <f>'Koszty dla przedsiębiorców+JST'!D4</f>
        <v>-3.7026676931328009</v>
      </c>
      <c r="E4" s="32">
        <f>'Koszty dla przedsiębiorców+JST'!E4</f>
        <v>-70.556389930252791</v>
      </c>
      <c r="F4" s="32">
        <f>'Koszty dla przedsiębiorców+JST'!F4</f>
        <v>-72.390856068439376</v>
      </c>
      <c r="G4" s="32">
        <f>'Koszty dla przedsiębiorców+JST'!G4</f>
        <v>-73.983454901945038</v>
      </c>
      <c r="H4" s="32">
        <f>'Koszty dla przedsiębiorców+JST'!H4</f>
        <v>-76.128975094101449</v>
      </c>
      <c r="I4" s="32">
        <f>'Koszty dla przedsiębiorców+JST'!I4</f>
        <v>-78.260586396736286</v>
      </c>
      <c r="J4" s="32">
        <f>'Koszty dla przedsiębiorców+JST'!J4</f>
        <v>-80.373622229448159</v>
      </c>
      <c r="K4" s="32">
        <f>'Koszty dla przedsiębiorców+JST'!K4</f>
        <v>-82.302589162954916</v>
      </c>
      <c r="L4" s="32">
        <f>'Koszty dla przedsiębiorców+JST'!L4</f>
        <v>-84.277851302865841</v>
      </c>
      <c r="M4" s="32">
        <f>'Koszty dla przedsiębiorców+JST'!M4</f>
        <v>-86.216241882831753</v>
      </c>
      <c r="N4" s="32">
        <f>'Koszty dla przedsiębiorców+JST'!N4</f>
        <v>-88.026782962371215</v>
      </c>
      <c r="O4" s="35">
        <f>SUM(D4:N4)</f>
        <v>-796.22001762507989</v>
      </c>
    </row>
    <row r="5" spans="3:15" ht="29.1" customHeight="1" thickBot="1" x14ac:dyDescent="0.3">
      <c r="C5" s="115" t="s">
        <v>2</v>
      </c>
      <c r="D5" s="36">
        <f>'Koszty dla przedsiębiorców+JST'!D5</f>
        <v>-0.92566692328319988</v>
      </c>
      <c r="E5" s="36">
        <f>'Koszty dla przedsiębiorców+JST'!E5</f>
        <v>-17.639097482563194</v>
      </c>
      <c r="F5" s="36">
        <f>'Koszty dla przedsiębiorców+JST'!F5</f>
        <v>-18.097714017109837</v>
      </c>
      <c r="G5" s="36">
        <f>'Koszty dla przedsiębiorców+JST'!G5</f>
        <v>-18.495863725486256</v>
      </c>
      <c r="H5" s="36">
        <f>'Koszty dla przedsiębiorców+JST'!H5</f>
        <v>-19.032243773525355</v>
      </c>
      <c r="I5" s="36">
        <f>'Koszty dla przedsiębiorców+JST'!I5</f>
        <v>-19.565146599184065</v>
      </c>
      <c r="J5" s="36">
        <f>'Koszty dla przedsiębiorców+JST'!J5</f>
        <v>-20.093405557362033</v>
      </c>
      <c r="K5" s="36">
        <f>'Koszty dla przedsiębiorców+JST'!K5</f>
        <v>-20.575647290738726</v>
      </c>
      <c r="L5" s="36">
        <f>'Koszty dla przedsiębiorców+JST'!L5</f>
        <v>-21.069462825716453</v>
      </c>
      <c r="M5" s="36">
        <f>'Koszty dla przedsiębiorców+JST'!M5</f>
        <v>-21.554060470707931</v>
      </c>
      <c r="N5" s="36">
        <f>'Koszty dla przedsiębiorców+JST'!N5</f>
        <v>-22.006695740592797</v>
      </c>
      <c r="O5" s="37">
        <f>SUM(D5:N5)</f>
        <v>-199.0550044062698</v>
      </c>
    </row>
    <row r="6" spans="3:15" s="43" customFormat="1" ht="29.1" customHeight="1" x14ac:dyDescent="0.25">
      <c r="C6" s="119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</row>
    <row r="7" spans="3:15" ht="24" customHeight="1" thickBot="1" x14ac:dyDescent="0.3">
      <c r="E7" s="1"/>
      <c r="F7" s="1"/>
      <c r="G7" s="1"/>
      <c r="H7" s="1"/>
      <c r="I7" s="1"/>
      <c r="J7" s="1"/>
      <c r="K7" s="1"/>
      <c r="L7" s="1"/>
      <c r="M7" s="1"/>
      <c r="N7" s="1"/>
    </row>
    <row r="8" spans="3:15" ht="27.6" customHeight="1" x14ac:dyDescent="0.25">
      <c r="D8" s="276" t="s">
        <v>143</v>
      </c>
      <c r="E8" s="277"/>
      <c r="F8" s="277"/>
      <c r="G8" s="277"/>
      <c r="H8" s="277"/>
      <c r="I8" s="277"/>
      <c r="J8" s="277"/>
      <c r="K8" s="277"/>
      <c r="L8" s="277"/>
      <c r="M8" s="277"/>
      <c r="N8" s="277"/>
      <c r="O8" s="278"/>
    </row>
    <row r="9" spans="3:15" ht="27" x14ac:dyDescent="0.25">
      <c r="D9" s="101">
        <v>0</v>
      </c>
      <c r="E9" s="98">
        <v>1</v>
      </c>
      <c r="F9" s="98">
        <v>2</v>
      </c>
      <c r="G9" s="98">
        <v>3</v>
      </c>
      <c r="H9" s="98">
        <v>4</v>
      </c>
      <c r="I9" s="98">
        <v>5</v>
      </c>
      <c r="J9" s="98">
        <v>6</v>
      </c>
      <c r="K9" s="98">
        <v>7</v>
      </c>
      <c r="L9" s="98">
        <v>8</v>
      </c>
      <c r="M9" s="98">
        <v>9</v>
      </c>
      <c r="N9" s="201">
        <v>10</v>
      </c>
      <c r="O9" s="99" t="s">
        <v>0</v>
      </c>
    </row>
    <row r="10" spans="3:15" ht="15.75" thickBot="1" x14ac:dyDescent="0.3">
      <c r="D10" s="102">
        <f>-1*(D4+D5)</f>
        <v>4.6283346164160006</v>
      </c>
      <c r="E10" s="102">
        <f>-1*(E4+E5)</f>
        <v>88.195487412815993</v>
      </c>
      <c r="F10" s="102">
        <f t="shared" ref="F10:N10" si="0">-1*(F4+F5)</f>
        <v>90.488570085549213</v>
      </c>
      <c r="G10" s="102">
        <f t="shared" si="0"/>
        <v>92.479318627431297</v>
      </c>
      <c r="H10" s="102">
        <f t="shared" si="0"/>
        <v>95.1612188676268</v>
      </c>
      <c r="I10" s="102">
        <f t="shared" si="0"/>
        <v>97.825732995920347</v>
      </c>
      <c r="J10" s="102">
        <f t="shared" si="0"/>
        <v>100.46702778681019</v>
      </c>
      <c r="K10" s="102">
        <f t="shared" si="0"/>
        <v>102.87823645369365</v>
      </c>
      <c r="L10" s="102">
        <f t="shared" si="0"/>
        <v>105.3473141285823</v>
      </c>
      <c r="M10" s="102">
        <f t="shared" si="0"/>
        <v>107.77030235353968</v>
      </c>
      <c r="N10" s="102">
        <f t="shared" si="0"/>
        <v>110.033478702964</v>
      </c>
      <c r="O10" s="100">
        <f>SUM(D10:N10)</f>
        <v>995.27502203134941</v>
      </c>
    </row>
    <row r="11" spans="3:15" x14ac:dyDescent="0.25">
      <c r="D11" s="43"/>
      <c r="E11" s="43"/>
      <c r="F11" s="43"/>
      <c r="G11" s="43"/>
      <c r="H11" s="43"/>
      <c r="I11" s="43"/>
      <c r="J11" s="43"/>
      <c r="K11" s="43"/>
      <c r="L11" s="43"/>
      <c r="M11" s="43"/>
      <c r="O11" s="43"/>
    </row>
    <row r="12" spans="3:15" x14ac:dyDescent="0.25">
      <c r="D12" s="43"/>
      <c r="E12" s="43"/>
      <c r="F12" s="43"/>
      <c r="G12" s="43"/>
      <c r="H12" s="43"/>
      <c r="I12" s="43"/>
      <c r="J12" s="43"/>
      <c r="K12" s="43"/>
      <c r="L12" s="43"/>
      <c r="M12" s="43"/>
      <c r="O12" s="43"/>
    </row>
    <row r="13" spans="3:15" ht="15.75" thickBot="1" x14ac:dyDescent="0.3">
      <c r="D13" s="43"/>
      <c r="E13" s="43"/>
      <c r="F13" s="43"/>
      <c r="G13" s="43"/>
      <c r="H13" s="43"/>
      <c r="I13" s="43"/>
      <c r="J13" s="43"/>
      <c r="K13" s="43"/>
      <c r="L13" s="43"/>
      <c r="M13" s="43"/>
      <c r="O13" s="43"/>
    </row>
    <row r="14" spans="3:15" s="5" customFormat="1" ht="15.75" thickBot="1" x14ac:dyDescent="0.3">
      <c r="C14" s="273" t="s">
        <v>42</v>
      </c>
      <c r="D14" s="274"/>
      <c r="E14" s="274"/>
      <c r="F14" s="274"/>
      <c r="G14" s="274"/>
      <c r="H14" s="274"/>
      <c r="I14" s="274"/>
      <c r="J14" s="274"/>
      <c r="K14" s="274"/>
      <c r="L14" s="274"/>
      <c r="M14" s="274"/>
      <c r="N14" s="274"/>
      <c r="O14" s="275"/>
    </row>
    <row r="15" spans="3:15" ht="15.75" thickBot="1" x14ac:dyDescent="0.3">
      <c r="C15" s="282" t="s">
        <v>183</v>
      </c>
      <c r="D15" s="279" t="s">
        <v>3</v>
      </c>
      <c r="E15" s="280"/>
      <c r="F15" s="280"/>
      <c r="G15" s="280"/>
      <c r="H15" s="280"/>
      <c r="I15" s="280"/>
      <c r="J15" s="280"/>
      <c r="K15" s="280"/>
      <c r="L15" s="280"/>
      <c r="M15" s="280"/>
      <c r="N15" s="280"/>
      <c r="O15" s="281"/>
    </row>
    <row r="16" spans="3:15" s="5" customFormat="1" ht="27.75" thickBot="1" x14ac:dyDescent="0.3">
      <c r="C16" s="283"/>
      <c r="D16" s="116">
        <v>0</v>
      </c>
      <c r="E16" s="2">
        <v>1</v>
      </c>
      <c r="F16" s="2">
        <v>2</v>
      </c>
      <c r="G16" s="2">
        <v>3</v>
      </c>
      <c r="H16" s="2">
        <v>4</v>
      </c>
      <c r="I16" s="2">
        <v>5</v>
      </c>
      <c r="J16" s="2">
        <v>6</v>
      </c>
      <c r="K16" s="2">
        <v>7</v>
      </c>
      <c r="L16" s="2">
        <v>8</v>
      </c>
      <c r="M16" s="2">
        <v>9</v>
      </c>
      <c r="N16" s="2">
        <v>10</v>
      </c>
      <c r="O16" s="3" t="s">
        <v>0</v>
      </c>
    </row>
    <row r="17" spans="3:17" ht="15.75" thickBot="1" x14ac:dyDescent="0.3">
      <c r="C17" s="112" t="s">
        <v>4</v>
      </c>
      <c r="D17" s="41">
        <f>D18+D19+D20</f>
        <v>0</v>
      </c>
      <c r="E17" s="41">
        <f t="shared" ref="E17:M17" si="1">E18+E19+E20</f>
        <v>0</v>
      </c>
      <c r="F17" s="41">
        <f t="shared" si="1"/>
        <v>0</v>
      </c>
      <c r="G17" s="41">
        <f t="shared" si="1"/>
        <v>0</v>
      </c>
      <c r="H17" s="41">
        <f t="shared" si="1"/>
        <v>0</v>
      </c>
      <c r="I17" s="41">
        <f t="shared" si="1"/>
        <v>0</v>
      </c>
      <c r="J17" s="41">
        <f t="shared" si="1"/>
        <v>0</v>
      </c>
      <c r="K17" s="41">
        <f t="shared" si="1"/>
        <v>0</v>
      </c>
      <c r="L17" s="41">
        <f t="shared" si="1"/>
        <v>0</v>
      </c>
      <c r="M17" s="41">
        <f t="shared" si="1"/>
        <v>0</v>
      </c>
      <c r="N17" s="41">
        <f t="shared" ref="N17" si="2">N18+N19+N20</f>
        <v>0</v>
      </c>
      <c r="O17" s="42">
        <f t="shared" ref="O17:O28" si="3">SUM(D17:N17)</f>
        <v>0</v>
      </c>
    </row>
    <row r="18" spans="3:17" ht="15.75" thickBot="1" x14ac:dyDescent="0.3">
      <c r="C18" s="111" t="s">
        <v>5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9">
        <f t="shared" si="3"/>
        <v>0</v>
      </c>
    </row>
    <row r="19" spans="3:17" ht="15.75" thickBot="1" x14ac:dyDescent="0.3">
      <c r="C19" s="111" t="s">
        <v>6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9">
        <f t="shared" si="3"/>
        <v>0</v>
      </c>
      <c r="Q19" s="40"/>
    </row>
    <row r="20" spans="3:17" ht="15.75" thickBot="1" x14ac:dyDescent="0.3">
      <c r="C20" s="111" t="s">
        <v>41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9">
        <f t="shared" si="3"/>
        <v>0</v>
      </c>
      <c r="Q20" s="40"/>
    </row>
    <row r="21" spans="3:17" ht="15.75" thickBot="1" x14ac:dyDescent="0.3">
      <c r="C21" s="112" t="s">
        <v>7</v>
      </c>
      <c r="D21" s="41">
        <f t="shared" ref="D21:M21" si="4">D22+D23+D24</f>
        <v>6.4546354111263993</v>
      </c>
      <c r="E21" s="41">
        <f t="shared" si="4"/>
        <v>6.2304308152791776</v>
      </c>
      <c r="F21" s="41">
        <f t="shared" si="4"/>
        <v>6.4057854439935777</v>
      </c>
      <c r="G21" s="41">
        <f t="shared" si="4"/>
        <v>6.5271889549933668</v>
      </c>
      <c r="H21" s="41">
        <f t="shared" si="4"/>
        <v>6.7121757005555018</v>
      </c>
      <c r="I21" s="41">
        <f t="shared" si="4"/>
        <v>6.8478992943598582</v>
      </c>
      <c r="J21" s="41">
        <f t="shared" si="4"/>
        <v>7.045291269714455</v>
      </c>
      <c r="K21" s="41">
        <f t="shared" si="4"/>
        <v>7.1945741961368244</v>
      </c>
      <c r="L21" s="41">
        <f t="shared" si="4"/>
        <v>7.4019591402437479</v>
      </c>
      <c r="M21" s="41">
        <f t="shared" si="4"/>
        <v>7.5587995148162506</v>
      </c>
      <c r="N21" s="41">
        <f t="shared" ref="N21" si="5">N22+N23+N24</f>
        <v>7.7766833217185862</v>
      </c>
      <c r="O21" s="42">
        <f t="shared" si="3"/>
        <v>76.155423062937757</v>
      </c>
      <c r="Q21" s="40"/>
    </row>
    <row r="22" spans="3:17" ht="15.75" thickBot="1" x14ac:dyDescent="0.3">
      <c r="C22" s="111" t="s">
        <v>5</v>
      </c>
      <c r="D22" s="38">
        <f>(SUM('Panel kontrolny'!AF19:AF21)+'Koszty pozostałe'!F55)/1000000</f>
        <v>6.4546354111263993</v>
      </c>
      <c r="E22" s="38">
        <f>(SUM('Panel kontrolny'!AG19:AG21)+'Koszty pozostałe'!G55)/1000000</f>
        <v>6.2304308152791776</v>
      </c>
      <c r="F22" s="38">
        <f>(SUM('Panel kontrolny'!AH19:AH21)+'Koszty pozostałe'!H55)/1000000</f>
        <v>6.4057854439935777</v>
      </c>
      <c r="G22" s="38">
        <f>(SUM('Panel kontrolny'!AI19:AI21)+'Koszty pozostałe'!I55)/1000000</f>
        <v>6.5271889549933668</v>
      </c>
      <c r="H22" s="38">
        <f>(SUM('Panel kontrolny'!AJ19:AJ21)+'Koszty pozostałe'!J55)/1000000</f>
        <v>6.7121757005555018</v>
      </c>
      <c r="I22" s="38">
        <f>(SUM('Panel kontrolny'!AK19:AK21)+'Koszty pozostałe'!K55)/1000000</f>
        <v>6.8478992943598582</v>
      </c>
      <c r="J22" s="38">
        <f>(SUM('Panel kontrolny'!AL19:AL21)+'Koszty pozostałe'!L55)/1000000</f>
        <v>7.045291269714455</v>
      </c>
      <c r="K22" s="38">
        <f>(SUM('Panel kontrolny'!AM19:AM21)+'Koszty pozostałe'!M55)/1000000</f>
        <v>7.1945741961368244</v>
      </c>
      <c r="L22" s="38">
        <f>(SUM('Panel kontrolny'!AN19:AN21)+'Koszty pozostałe'!N55)/1000000</f>
        <v>7.4019591402437479</v>
      </c>
      <c r="M22" s="38">
        <f>(SUM('Panel kontrolny'!AO19:AO21)+'Koszty pozostałe'!O55)/1000000</f>
        <v>7.5587995148162506</v>
      </c>
      <c r="N22" s="38">
        <f>(SUM('Panel kontrolny'!AP19:AP21)+'Koszty pozostałe'!P55)/1000000</f>
        <v>7.7766833217185862</v>
      </c>
      <c r="O22" s="39">
        <f t="shared" si="3"/>
        <v>76.155423062937757</v>
      </c>
      <c r="Q22" s="40"/>
    </row>
    <row r="23" spans="3:17" ht="15.75" thickBot="1" x14ac:dyDescent="0.3">
      <c r="C23" s="111" t="s">
        <v>6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9">
        <f t="shared" si="3"/>
        <v>0</v>
      </c>
      <c r="Q23" s="40"/>
    </row>
    <row r="24" spans="3:17" ht="15.75" thickBot="1" x14ac:dyDescent="0.3">
      <c r="C24" s="111" t="s">
        <v>41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9">
        <f t="shared" si="3"/>
        <v>0</v>
      </c>
      <c r="Q24" s="40"/>
    </row>
    <row r="25" spans="3:17" ht="20.25" customHeight="1" thickBot="1" x14ac:dyDescent="0.3">
      <c r="C25" s="112" t="s">
        <v>8</v>
      </c>
      <c r="D25" s="41">
        <f t="shared" ref="D25:M25" si="6">D26+D27+D28</f>
        <v>-6.4546354111263993</v>
      </c>
      <c r="E25" s="41">
        <f t="shared" si="6"/>
        <v>-6.2304308152791776</v>
      </c>
      <c r="F25" s="41">
        <f t="shared" si="6"/>
        <v>-6.4057854439935777</v>
      </c>
      <c r="G25" s="41">
        <f t="shared" si="6"/>
        <v>-6.5271889549933668</v>
      </c>
      <c r="H25" s="41">
        <f t="shared" si="6"/>
        <v>-6.7121757005555018</v>
      </c>
      <c r="I25" s="41">
        <f t="shared" si="6"/>
        <v>-6.8478992943598582</v>
      </c>
      <c r="J25" s="41">
        <f t="shared" si="6"/>
        <v>-7.045291269714455</v>
      </c>
      <c r="K25" s="41">
        <f t="shared" si="6"/>
        <v>-7.1945741961368244</v>
      </c>
      <c r="L25" s="41">
        <f t="shared" si="6"/>
        <v>-7.4019591402437479</v>
      </c>
      <c r="M25" s="41">
        <f t="shared" si="6"/>
        <v>-7.5587995148162506</v>
      </c>
      <c r="N25" s="41">
        <f t="shared" ref="N25" si="7">N26+N27+N28</f>
        <v>-7.7766833217185862</v>
      </c>
      <c r="O25" s="42">
        <f t="shared" si="3"/>
        <v>-76.155423062937757</v>
      </c>
      <c r="Q25" s="40"/>
    </row>
    <row r="26" spans="3:17" ht="15.75" thickBot="1" x14ac:dyDescent="0.3">
      <c r="C26" s="111" t="s">
        <v>5</v>
      </c>
      <c r="D26" s="38">
        <f t="shared" ref="D26:M27" si="8">D18-D22</f>
        <v>-6.4546354111263993</v>
      </c>
      <c r="E26" s="38">
        <f t="shared" si="8"/>
        <v>-6.2304308152791776</v>
      </c>
      <c r="F26" s="38">
        <f t="shared" si="8"/>
        <v>-6.4057854439935777</v>
      </c>
      <c r="G26" s="38">
        <f t="shared" si="8"/>
        <v>-6.5271889549933668</v>
      </c>
      <c r="H26" s="38">
        <f t="shared" si="8"/>
        <v>-6.7121757005555018</v>
      </c>
      <c r="I26" s="38">
        <f t="shared" si="8"/>
        <v>-6.8478992943598582</v>
      </c>
      <c r="J26" s="38">
        <f t="shared" si="8"/>
        <v>-7.045291269714455</v>
      </c>
      <c r="K26" s="38">
        <f t="shared" si="8"/>
        <v>-7.1945741961368244</v>
      </c>
      <c r="L26" s="38">
        <f t="shared" si="8"/>
        <v>-7.4019591402437479</v>
      </c>
      <c r="M26" s="38">
        <f t="shared" si="8"/>
        <v>-7.5587995148162506</v>
      </c>
      <c r="N26" s="38">
        <f t="shared" ref="N26" si="9">N18-N22</f>
        <v>-7.7766833217185862</v>
      </c>
      <c r="O26" s="39">
        <f t="shared" si="3"/>
        <v>-76.155423062937757</v>
      </c>
    </row>
    <row r="27" spans="3:17" ht="15.75" thickBot="1" x14ac:dyDescent="0.3">
      <c r="C27" s="111" t="s">
        <v>6</v>
      </c>
      <c r="D27" s="38">
        <f t="shared" si="8"/>
        <v>0</v>
      </c>
      <c r="E27" s="38">
        <f t="shared" si="8"/>
        <v>0</v>
      </c>
      <c r="F27" s="38">
        <f t="shared" si="8"/>
        <v>0</v>
      </c>
      <c r="G27" s="38">
        <f t="shared" si="8"/>
        <v>0</v>
      </c>
      <c r="H27" s="38">
        <f t="shared" si="8"/>
        <v>0</v>
      </c>
      <c r="I27" s="38">
        <f t="shared" si="8"/>
        <v>0</v>
      </c>
      <c r="J27" s="38">
        <f t="shared" si="8"/>
        <v>0</v>
      </c>
      <c r="K27" s="38">
        <f t="shared" si="8"/>
        <v>0</v>
      </c>
      <c r="L27" s="38">
        <f t="shared" si="8"/>
        <v>0</v>
      </c>
      <c r="M27" s="38">
        <f t="shared" si="8"/>
        <v>0</v>
      </c>
      <c r="N27" s="38">
        <f t="shared" ref="N27" si="10">N19-N23</f>
        <v>0</v>
      </c>
      <c r="O27" s="39">
        <f t="shared" si="3"/>
        <v>0</v>
      </c>
    </row>
    <row r="28" spans="3:17" ht="32.25" customHeight="1" thickBot="1" x14ac:dyDescent="0.3">
      <c r="C28" s="116" t="s">
        <v>41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9">
        <f t="shared" si="3"/>
        <v>0</v>
      </c>
    </row>
    <row r="29" spans="3:17" x14ac:dyDescent="0.25">
      <c r="C29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</row>
    <row r="30" spans="3:17" x14ac:dyDescent="0.25">
      <c r="C30"/>
    </row>
    <row r="31" spans="3:17" s="43" customFormat="1" ht="15.75" thickBot="1" x14ac:dyDescent="0.3"/>
    <row r="32" spans="3:17" s="43" customFormat="1" ht="15.75" customHeight="1" thickBot="1" x14ac:dyDescent="0.3">
      <c r="D32" s="267" t="s">
        <v>3</v>
      </c>
      <c r="E32" s="269"/>
      <c r="F32" s="269"/>
      <c r="G32" s="269"/>
      <c r="H32" s="269"/>
      <c r="I32" s="269"/>
      <c r="J32" s="269"/>
      <c r="K32" s="269"/>
      <c r="L32" s="269"/>
      <c r="M32" s="269"/>
      <c r="N32" s="269"/>
      <c r="O32" s="268"/>
    </row>
    <row r="33" spans="2:15" ht="29.25" thickBot="1" x14ac:dyDescent="0.3">
      <c r="C33"/>
      <c r="D33" s="116">
        <v>0</v>
      </c>
      <c r="E33" s="2">
        <v>1</v>
      </c>
      <c r="F33" s="2">
        <v>2</v>
      </c>
      <c r="G33" s="2">
        <v>3</v>
      </c>
      <c r="H33" s="2">
        <v>4</v>
      </c>
      <c r="I33" s="2">
        <v>5</v>
      </c>
      <c r="J33" s="2">
        <v>6</v>
      </c>
      <c r="K33" s="2">
        <v>7</v>
      </c>
      <c r="L33" s="2">
        <v>8</v>
      </c>
      <c r="M33" s="2">
        <v>9</v>
      </c>
      <c r="N33" s="2">
        <v>10</v>
      </c>
      <c r="O33" s="156" t="s">
        <v>0</v>
      </c>
    </row>
    <row r="34" spans="2:15" ht="27.75" customHeight="1" thickBot="1" x14ac:dyDescent="0.3">
      <c r="B34" s="270" t="s">
        <v>124</v>
      </c>
      <c r="C34" s="116" t="s">
        <v>127</v>
      </c>
      <c r="D34" s="128">
        <f>'Panel kontrolny'!AF21/1000000</f>
        <v>0.36673322999999997</v>
      </c>
      <c r="E34" s="128">
        <f>'Panel kontrolny'!AG21/1000000</f>
        <v>0.40518162752000009</v>
      </c>
      <c r="F34" s="128">
        <f>'Panel kontrolny'!AH21/1000000</f>
        <v>0.41622824091648009</v>
      </c>
      <c r="G34" s="128">
        <f>'Panel kontrolny'!AI21/1000000</f>
        <v>0.42409704665645065</v>
      </c>
      <c r="H34" s="128">
        <f>'Panel kontrolny'!AJ21/1000000</f>
        <v>0.43598763517437544</v>
      </c>
      <c r="I34" s="128">
        <f>'Panel kontrolny'!AK21/1000000</f>
        <v>0.44546757033581608</v>
      </c>
      <c r="J34" s="128">
        <f>'Panel kontrolny'!AL21/1000000</f>
        <v>0.45805950920507826</v>
      </c>
      <c r="K34" s="128">
        <f>'Panel kontrolny'!AM21/1000000</f>
        <v>0.46801936608406675</v>
      </c>
      <c r="L34" s="128">
        <f>'Panel kontrolny'!AN21/1000000</f>
        <v>0.48124877185858517</v>
      </c>
      <c r="M34" s="128">
        <f>'Panel kontrolny'!AO21/1000000</f>
        <v>0.49171284649207253</v>
      </c>
      <c r="N34" s="128">
        <f>'Panel kontrolny'!AP21/1000000</f>
        <v>0.50561199093392584</v>
      </c>
      <c r="O34" s="128">
        <f t="shared" ref="O34:O40" si="11">SUM(D34:N34)</f>
        <v>4.8983478351768515</v>
      </c>
    </row>
    <row r="35" spans="2:15" s="43" customFormat="1" ht="15.75" thickBot="1" x14ac:dyDescent="0.3">
      <c r="B35" s="271"/>
      <c r="C35" s="116" t="s">
        <v>104</v>
      </c>
      <c r="D35" s="128">
        <f>'Panel kontrolny'!AF19/1000000</f>
        <v>3.2482656387072</v>
      </c>
      <c r="E35" s="128">
        <f>'Panel kontrolny'!AG19/1000000</f>
        <v>3.5779182005262844</v>
      </c>
      <c r="F35" s="128">
        <f>'Panel kontrolny'!AH19/1000000</f>
        <v>3.6849443067149155</v>
      </c>
      <c r="G35" s="128">
        <f>'Panel kontrolny'!AI19/1000000</f>
        <v>3.7449456358511028</v>
      </c>
      <c r="H35" s="128">
        <f>'Panel kontrolny'!AJ19/1000000</f>
        <v>3.8598802852236456</v>
      </c>
      <c r="I35" s="128">
        <f>'Panel kontrolny'!AK19/1000000</f>
        <v>3.9336612008675367</v>
      </c>
      <c r="J35" s="128">
        <f>'Panel kontrolny'!AL19/1000000</f>
        <v>4.0552867246630919</v>
      </c>
      <c r="K35" s="128">
        <f>'Panel kontrolny'!AM19/1000000</f>
        <v>4.1328027991614533</v>
      </c>
      <c r="L35" s="128">
        <f>'Panel kontrolny'!AN19/1000000</f>
        <v>4.2605856150991599</v>
      </c>
      <c r="M35" s="128">
        <f>'Panel kontrolny'!AO19/1000000</f>
        <v>4.3420259408690027</v>
      </c>
      <c r="N35" s="128">
        <f>'Panel kontrolny'!AP19/1000000</f>
        <v>4.4762777618635541</v>
      </c>
      <c r="O35" s="128">
        <f t="shared" si="11"/>
        <v>43.316594109546948</v>
      </c>
    </row>
    <row r="36" spans="2:15" s="43" customFormat="1" ht="27.75" thickBot="1" x14ac:dyDescent="0.3">
      <c r="B36" s="272"/>
      <c r="C36" s="116" t="s">
        <v>128</v>
      </c>
      <c r="D36" s="128">
        <f>'Panel kontrolny'!AF20/1000000</f>
        <v>0.2030166024192</v>
      </c>
      <c r="E36" s="128">
        <f>'Panel kontrolny'!AG20/1000000</f>
        <v>0.22361988753289277</v>
      </c>
      <c r="F36" s="128">
        <f>'Panel kontrolny'!AH20/1000000</f>
        <v>0.23030901916968222</v>
      </c>
      <c r="G36" s="128">
        <f>'Panel kontrolny'!AI20/1000000</f>
        <v>0.23405910224069393</v>
      </c>
      <c r="H36" s="128">
        <f>'Panel kontrolny'!AJ20/1000000</f>
        <v>0.24124251782647785</v>
      </c>
      <c r="I36" s="128">
        <f>'Panel kontrolny'!AK20/1000000</f>
        <v>0.24585382505422104</v>
      </c>
      <c r="J36" s="128">
        <f>'Panel kontrolny'!AL20/1000000</f>
        <v>0.25345542029144325</v>
      </c>
      <c r="K36" s="128">
        <f>'Panel kontrolny'!AM20/1000000</f>
        <v>0.25830017494759083</v>
      </c>
      <c r="L36" s="128">
        <f>'Panel kontrolny'!AN20/1000000</f>
        <v>0.26628660094369749</v>
      </c>
      <c r="M36" s="128">
        <f>'Panel kontrolny'!AO20/1000000</f>
        <v>0.27137662130431267</v>
      </c>
      <c r="N36" s="128">
        <f>'Panel kontrolny'!AP20/1000000</f>
        <v>0.27976736011647213</v>
      </c>
      <c r="O36" s="128">
        <f t="shared" si="11"/>
        <v>2.7072871318466842</v>
      </c>
    </row>
    <row r="37" spans="2:15" ht="27.75" customHeight="1" thickBot="1" x14ac:dyDescent="0.3">
      <c r="B37" s="270" t="s">
        <v>125</v>
      </c>
      <c r="C37" s="116" t="s">
        <v>127</v>
      </c>
      <c r="D37" s="128">
        <f>SUM('Koszty pozostałe'!F9:F13)/1000000</f>
        <v>3.282463E-2</v>
      </c>
      <c r="E37" s="128">
        <f>SUM('Koszty pozostałe'!G9:G13)/1000000</f>
        <v>7.0355491499999997E-3</v>
      </c>
      <c r="F37" s="128">
        <f>SUM('Koszty pozostałe'!H9:H13)/1000000</f>
        <v>7.2114378787499992E-3</v>
      </c>
      <c r="G37" s="128">
        <f>SUM('Koszty pozostałe'!I9:I13)/1000000</f>
        <v>7.3845123878399982E-3</v>
      </c>
      <c r="H37" s="128">
        <f>SUM('Koszty pozostałe'!J9:J13)/1000000</f>
        <v>7.5617406851481595E-3</v>
      </c>
      <c r="I37" s="128">
        <f>SUM('Koszty pozostałe'!K9:K13)/1000000</f>
        <v>7.7280989802214189E-3</v>
      </c>
      <c r="J37" s="128">
        <f>SUM('Koszty pozostałe'!L9:L13)/1000000</f>
        <v>7.9213014547269544E-3</v>
      </c>
      <c r="K37" s="128">
        <f>SUM('Koszty pozostałe'!M9:M13)/1000000</f>
        <v>8.1193339910951273E-3</v>
      </c>
      <c r="L37" s="128">
        <f>SUM('Koszty pozostałe'!N9:N13)/1000000</f>
        <v>8.322317340872503E-3</v>
      </c>
      <c r="M37" s="128">
        <f>SUM('Koszty pozostałe'!O9:O13)/1000000</f>
        <v>8.5303752743943143E-3</v>
      </c>
      <c r="N37" s="128">
        <f>SUM('Koszty pozostałe'!P9:P13)/1000000</f>
        <v>8.7436346562541727E-3</v>
      </c>
      <c r="O37" s="128">
        <f t="shared" si="11"/>
        <v>0.11138293179930266</v>
      </c>
    </row>
    <row r="38" spans="2:15" s="43" customFormat="1" ht="15.75" thickBot="1" x14ac:dyDescent="0.3">
      <c r="B38" s="271"/>
      <c r="C38" s="116" t="s">
        <v>104</v>
      </c>
      <c r="D38" s="128">
        <f>SUM('Koszty pozostałe'!F15:F19)/1000000</f>
        <v>0.52519408000000001</v>
      </c>
      <c r="E38" s="128">
        <f>SUM('Koszty pozostałe'!G15:G19)/1000000</f>
        <v>0.1125847864</v>
      </c>
      <c r="F38" s="128">
        <f>SUM('Koszty pozostałe'!H15:H19)/1000000</f>
        <v>0.11539940605999997</v>
      </c>
      <c r="G38" s="128">
        <f>SUM('Koszty pozostałe'!I15:I19)/1000000</f>
        <v>0.11816899180543998</v>
      </c>
      <c r="H38" s="128">
        <f>SUM('Koszty pozostałe'!J15:J19)/1000000</f>
        <v>0.12100504760877055</v>
      </c>
      <c r="I38" s="128">
        <f>SUM('Koszty pozostałe'!K15:K19)/1000000</f>
        <v>0.12366715865616351</v>
      </c>
      <c r="J38" s="128">
        <f>SUM('Koszty pozostałe'!L15:L19)/1000000</f>
        <v>0.12675883762256759</v>
      </c>
      <c r="K38" s="128">
        <f>SUM('Koszty pozostałe'!M15:M19)/1000000</f>
        <v>0.12992780856313174</v>
      </c>
      <c r="L38" s="128">
        <f>SUM('Koszty pozostałe'!N15:N19)/1000000</f>
        <v>0.13317600377721001</v>
      </c>
      <c r="M38" s="128">
        <f>SUM('Koszty pozostałe'!O15:O19)/1000000</f>
        <v>0.13650540387164029</v>
      </c>
      <c r="N38" s="128">
        <f>SUM('Koszty pozostałe'!P15:P19)/1000000</f>
        <v>0.13991803896843127</v>
      </c>
      <c r="O38" s="128">
        <f t="shared" si="11"/>
        <v>1.7823055633333549</v>
      </c>
    </row>
    <row r="39" spans="2:15" s="43" customFormat="1" ht="27.75" thickBot="1" x14ac:dyDescent="0.3">
      <c r="B39" s="272"/>
      <c r="C39" s="116" t="s">
        <v>128</v>
      </c>
      <c r="D39" s="128">
        <f>SUM('Koszty pozostałe'!F5:F7)/1000000</f>
        <v>2.9924629999999997E-2</v>
      </c>
      <c r="E39" s="128">
        <f>SUM('Koszty pozostałe'!G5:G7)/1000000</f>
        <v>5.6835491499999989E-3</v>
      </c>
      <c r="F39" s="128">
        <f>SUM('Koszty pozostałe'!H5:H7)/1000000</f>
        <v>5.8256378787499988E-3</v>
      </c>
      <c r="G39" s="128">
        <f>SUM('Koszty pozostałe'!I5:I7)/1000000</f>
        <v>5.9654531878399987E-3</v>
      </c>
      <c r="H39" s="128">
        <f>SUM('Koszty pozostałe'!J5:J7)/1000000</f>
        <v>6.1086240643481587E-3</v>
      </c>
      <c r="I39" s="128">
        <f>SUM('Koszty pozostałe'!K5:K7)/1000000</f>
        <v>6.2430137937638181E-3</v>
      </c>
      <c r="J39" s="128">
        <f>SUM('Koszty pozostałe'!L5:L7)/1000000</f>
        <v>6.3990891386079126E-3</v>
      </c>
      <c r="K39" s="128">
        <f>SUM('Koszty pozostałe'!M5:M7)/1000000</f>
        <v>6.5590663670731103E-3</v>
      </c>
      <c r="L39" s="128">
        <f>SUM('Koszty pozostałe'!N5:N7)/1000000</f>
        <v>6.7230430262499377E-3</v>
      </c>
      <c r="M39" s="128">
        <f>SUM('Koszty pozostałe'!O5:O7)/1000000</f>
        <v>6.891119101906186E-3</v>
      </c>
      <c r="N39" s="128">
        <f>SUM('Koszty pozostałe'!P5:P7)/1000000</f>
        <v>7.0633970794538401E-3</v>
      </c>
      <c r="O39" s="128">
        <f t="shared" si="11"/>
        <v>9.3386622787992937E-2</v>
      </c>
    </row>
    <row r="40" spans="2:15" ht="27.75" thickBot="1" x14ac:dyDescent="0.3">
      <c r="B40" s="202" t="s">
        <v>167</v>
      </c>
      <c r="C40" s="128" t="s">
        <v>155</v>
      </c>
      <c r="D40" s="128">
        <f>SUM('Koszty pozostałe'!F59:F65)/1000000</f>
        <v>2.0486766000000003</v>
      </c>
      <c r="E40" s="128">
        <f>SUM('Koszty pozostałe'!G59:G65)/1000000</f>
        <v>1.8984072149999998</v>
      </c>
      <c r="F40" s="128">
        <f>SUM('Koszty pozostałe'!H59:H65)/1000000</f>
        <v>1.9458673953749999</v>
      </c>
      <c r="G40" s="128">
        <f>SUM('Koszty pozostałe'!I59:I65)/1000000</f>
        <v>1.9925682128639999</v>
      </c>
      <c r="H40" s="128">
        <f>SUM('Koszty pozostałe'!J59:J65)/1000000</f>
        <v>2.0403898499727355</v>
      </c>
      <c r="I40" s="128">
        <f>SUM('Koszty pozostałe'!K59:K65)/1000000</f>
        <v>2.085278426672136</v>
      </c>
      <c r="J40" s="128">
        <f>SUM('Koszty pozostałe'!L59:L65)/1000000</f>
        <v>2.1374103873389392</v>
      </c>
      <c r="K40" s="128">
        <f>SUM('Koszty pozostałe'!M59:M65)/1000000</f>
        <v>2.1908456470224125</v>
      </c>
      <c r="L40" s="128">
        <f>SUM('Koszty pozostałe'!N59:N65)/1000000</f>
        <v>2.2456167881979727</v>
      </c>
      <c r="M40" s="128">
        <f>SUM('Koszty pozostałe'!O59:O65)/1000000</f>
        <v>2.3017572079029218</v>
      </c>
      <c r="N40" s="128">
        <f>SUM('Koszty pozostałe'!P59:P65)/1000000</f>
        <v>2.359301138100494</v>
      </c>
      <c r="O40" s="128">
        <f t="shared" si="11"/>
        <v>23.246118868446612</v>
      </c>
    </row>
    <row r="41" spans="2:15" s="43" customFormat="1" ht="15.75" thickBot="1" x14ac:dyDescent="0.3">
      <c r="B41" s="267" t="s">
        <v>49</v>
      </c>
      <c r="C41" s="268"/>
      <c r="D41" s="128">
        <f>SUM(D34:D40)</f>
        <v>6.4546354111264002</v>
      </c>
      <c r="E41" s="128">
        <f t="shared" ref="E41:N41" si="12">SUM(E34:E40)</f>
        <v>6.2304308152791776</v>
      </c>
      <c r="F41" s="128">
        <f t="shared" si="12"/>
        <v>6.4057854439935769</v>
      </c>
      <c r="G41" s="128">
        <f t="shared" si="12"/>
        <v>6.5271889549933677</v>
      </c>
      <c r="H41" s="128">
        <f t="shared" si="12"/>
        <v>6.7121757005555001</v>
      </c>
      <c r="I41" s="128">
        <f t="shared" si="12"/>
        <v>6.8478992943598591</v>
      </c>
      <c r="J41" s="128">
        <f t="shared" si="12"/>
        <v>7.0452912697144541</v>
      </c>
      <c r="K41" s="128">
        <f t="shared" si="12"/>
        <v>7.1945741961368235</v>
      </c>
      <c r="L41" s="128">
        <f t="shared" si="12"/>
        <v>7.4019591402437479</v>
      </c>
      <c r="M41" s="128">
        <f t="shared" si="12"/>
        <v>7.5587995148162515</v>
      </c>
      <c r="N41" s="128">
        <f t="shared" si="12"/>
        <v>7.7766833217185862</v>
      </c>
      <c r="O41" s="128">
        <f t="shared" ref="O41" si="13">SUM(D41:N41)</f>
        <v>76.155423062937757</v>
      </c>
    </row>
    <row r="43" spans="2:15" x14ac:dyDescent="0.25">
      <c r="O43" s="175">
        <f>SUM(O34:O36)*1000000</f>
        <v>50922229.076570481</v>
      </c>
    </row>
    <row r="44" spans="2:15" x14ac:dyDescent="0.25">
      <c r="O44" s="173">
        <f>SUM(O34:O40)</f>
        <v>76.155423062937743</v>
      </c>
    </row>
  </sheetData>
  <mergeCells count="9">
    <mergeCell ref="B41:C41"/>
    <mergeCell ref="D32:O32"/>
    <mergeCell ref="B37:B39"/>
    <mergeCell ref="B34:B36"/>
    <mergeCell ref="C2:O2"/>
    <mergeCell ref="D8:O8"/>
    <mergeCell ref="C14:O14"/>
    <mergeCell ref="D15:O15"/>
    <mergeCell ref="C15:C16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C56"/>
  <sheetViews>
    <sheetView topLeftCell="A4" zoomScaleNormal="100" workbookViewId="0">
      <selection activeCell="D5" sqref="D5"/>
    </sheetView>
  </sheetViews>
  <sheetFormatPr defaultColWidth="8.85546875" defaultRowHeight="15" x14ac:dyDescent="0.25"/>
  <cols>
    <col min="1" max="1" width="13.42578125" style="43" customWidth="1"/>
    <col min="2" max="2" width="10.140625" style="43" customWidth="1"/>
    <col min="3" max="3" width="7.85546875" style="43" customWidth="1"/>
    <col min="4" max="4" width="15.85546875" style="43" customWidth="1"/>
    <col min="5" max="5" width="9.85546875" style="43" customWidth="1"/>
    <col min="6" max="6" width="8.5703125" style="43" customWidth="1"/>
    <col min="7" max="7" width="16.140625" style="43" bestFit="1" customWidth="1"/>
    <col min="8" max="8" width="14.85546875" style="43" bestFit="1" customWidth="1"/>
    <col min="9" max="10" width="14.85546875" style="43" customWidth="1"/>
    <col min="11" max="11" width="14.85546875" style="43" bestFit="1" customWidth="1"/>
    <col min="12" max="12" width="13.42578125" style="43" bestFit="1" customWidth="1"/>
    <col min="13" max="14" width="13.42578125" style="43" customWidth="1"/>
    <col min="15" max="15" width="15.85546875" style="43" bestFit="1" customWidth="1"/>
    <col min="16" max="16" width="14.140625" style="43" customWidth="1"/>
    <col min="17" max="17" width="13" style="43" customWidth="1"/>
    <col min="18" max="18" width="12.140625" style="43" bestFit="1" customWidth="1"/>
    <col min="19" max="19" width="12.140625" style="43" customWidth="1"/>
    <col min="20" max="20" width="15" style="43" customWidth="1"/>
    <col min="21" max="21" width="17.85546875" style="43" customWidth="1"/>
    <col min="22" max="22" width="16.140625" style="43" customWidth="1"/>
    <col min="23" max="23" width="8.85546875" style="43"/>
    <col min="24" max="24" width="16.85546875" style="43" customWidth="1"/>
    <col min="25" max="25" width="16" style="43" customWidth="1"/>
    <col min="26" max="26" width="19.140625" style="43" bestFit="1" customWidth="1"/>
    <col min="27" max="27" width="20" style="43" bestFit="1" customWidth="1"/>
    <col min="28" max="28" width="15.140625" style="43" bestFit="1" customWidth="1"/>
    <col min="29" max="29" width="14" style="43" customWidth="1"/>
    <col min="30" max="30" width="20" style="43" bestFit="1" customWidth="1"/>
    <col min="31" max="31" width="17.85546875" style="43" customWidth="1"/>
    <col min="32" max="32" width="16.85546875" style="43" customWidth="1"/>
    <col min="33" max="33" width="16.42578125" style="43" customWidth="1"/>
    <col min="34" max="35" width="8.85546875" style="43"/>
    <col min="36" max="36" width="9" style="43" bestFit="1" customWidth="1"/>
    <col min="37" max="37" width="88.42578125" style="43" bestFit="1" customWidth="1"/>
    <col min="38" max="48" width="9" style="43" bestFit="1" customWidth="1"/>
    <col min="49" max="49" width="11" style="43" bestFit="1" customWidth="1"/>
    <col min="50" max="52" width="8.85546875" style="43"/>
    <col min="53" max="53" width="82.85546875" style="43" bestFit="1" customWidth="1"/>
    <col min="54" max="16384" width="8.85546875" style="43"/>
  </cols>
  <sheetData>
    <row r="1" spans="1:81" x14ac:dyDescent="0.25">
      <c r="A1" s="246"/>
    </row>
    <row r="2" spans="1:81" ht="26.25" x14ac:dyDescent="0.4">
      <c r="A2" s="179" t="s">
        <v>171</v>
      </c>
      <c r="B2" s="10"/>
      <c r="C2" s="10"/>
      <c r="D2" s="10"/>
      <c r="E2" s="44"/>
    </row>
    <row r="3" spans="1:81" ht="45.75" customHeight="1" x14ac:dyDescent="0.25">
      <c r="A3" s="285" t="s">
        <v>11</v>
      </c>
      <c r="B3" s="286"/>
      <c r="C3" s="287"/>
      <c r="D3" s="288" t="s">
        <v>12</v>
      </c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90"/>
      <c r="P3" s="291" t="s">
        <v>13</v>
      </c>
      <c r="Q3" s="291"/>
      <c r="R3" s="291"/>
      <c r="S3" s="291"/>
      <c r="T3" s="291"/>
      <c r="AB3" s="212"/>
      <c r="AC3" s="212"/>
      <c r="AD3" s="284" t="s">
        <v>172</v>
      </c>
      <c r="AE3" s="284"/>
      <c r="AF3" s="284"/>
      <c r="AG3" s="284"/>
      <c r="AJ3" s="43" t="str">
        <f t="array" ref="AJ3:AW21">TRANSPOSE(A3:U16)</f>
        <v>OSR - CPC</v>
      </c>
      <c r="AK3" s="43">
        <v>0</v>
      </c>
      <c r="AL3" s="43">
        <v>2027</v>
      </c>
      <c r="AM3" s="43">
        <v>2028</v>
      </c>
      <c r="AN3" s="43">
        <v>2029</v>
      </c>
      <c r="AO3" s="43">
        <v>2030</v>
      </c>
      <c r="AP3" s="43">
        <v>2031</v>
      </c>
      <c r="AQ3" s="43">
        <v>2032</v>
      </c>
      <c r="AR3" s="43">
        <v>2033</v>
      </c>
      <c r="AS3" s="43">
        <v>2034</v>
      </c>
      <c r="AT3" s="43">
        <v>2035</v>
      </c>
      <c r="AU3" s="43">
        <v>2036</v>
      </c>
      <c r="AV3" s="43">
        <v>2037</v>
      </c>
      <c r="AW3" s="43" t="str">
        <v xml:space="preserve">OGÓŁEM </v>
      </c>
      <c r="AZ3" s="43" t="str">
        <f t="array" ref="AZ3:BM21">TRANSPOSE(A21:U34)</f>
        <v>OSR - CPC</v>
      </c>
      <c r="BA3" s="43">
        <v>0</v>
      </c>
      <c r="BB3" s="43">
        <v>2027</v>
      </c>
      <c r="BC3" s="43">
        <v>2028</v>
      </c>
      <c r="BD3" s="43">
        <v>2029</v>
      </c>
      <c r="BE3" s="43">
        <v>2030</v>
      </c>
      <c r="BF3" s="43">
        <v>2031</v>
      </c>
      <c r="BG3" s="43">
        <v>2032</v>
      </c>
      <c r="BH3" s="43">
        <v>2033</v>
      </c>
      <c r="BI3" s="43">
        <v>2034</v>
      </c>
      <c r="BJ3" s="43">
        <v>2035</v>
      </c>
      <c r="BK3" s="43">
        <v>2036</v>
      </c>
      <c r="BL3" s="43">
        <v>2037</v>
      </c>
      <c r="BM3" s="43" t="str">
        <v xml:space="preserve">OGÓŁEM </v>
      </c>
      <c r="BP3" s="43" t="str">
        <f t="array" ref="BP3:CC21">TRANSPOSE(A43:U56)</f>
        <v>OSR - CPC</v>
      </c>
      <c r="BQ3" s="43">
        <v>0</v>
      </c>
      <c r="BR3" s="43">
        <v>2027</v>
      </c>
      <c r="BS3" s="43">
        <v>2028</v>
      </c>
      <c r="BT3" s="43">
        <v>2029</v>
      </c>
      <c r="BU3" s="43">
        <v>2030</v>
      </c>
      <c r="BV3" s="43">
        <v>2031</v>
      </c>
      <c r="BW3" s="43">
        <v>2032</v>
      </c>
      <c r="BX3" s="43">
        <v>2033</v>
      </c>
      <c r="BY3" s="43">
        <v>2034</v>
      </c>
      <c r="BZ3" s="43">
        <v>2035</v>
      </c>
      <c r="CA3" s="43">
        <v>2036</v>
      </c>
      <c r="CB3" s="43">
        <v>2037</v>
      </c>
      <c r="CC3" s="43" t="str">
        <v xml:space="preserve">OGÓŁEM </v>
      </c>
    </row>
    <row r="4" spans="1:81" ht="209.25" customHeight="1" x14ac:dyDescent="0.25">
      <c r="A4" s="11"/>
      <c r="B4" s="11"/>
      <c r="C4" s="11" t="s">
        <v>14</v>
      </c>
      <c r="D4" s="12" t="s">
        <v>111</v>
      </c>
      <c r="E4" s="12" t="s">
        <v>74</v>
      </c>
      <c r="F4" s="12" t="s">
        <v>15</v>
      </c>
      <c r="G4" s="12" t="s">
        <v>16</v>
      </c>
      <c r="H4" s="12" t="s">
        <v>173</v>
      </c>
      <c r="I4" s="12" t="s">
        <v>18</v>
      </c>
      <c r="J4" s="12" t="s">
        <v>151</v>
      </c>
      <c r="K4" s="12" t="s">
        <v>19</v>
      </c>
      <c r="L4" s="12" t="s">
        <v>173</v>
      </c>
      <c r="M4" s="12" t="s">
        <v>18</v>
      </c>
      <c r="N4" s="12" t="s">
        <v>151</v>
      </c>
      <c r="O4" s="12" t="s">
        <v>20</v>
      </c>
      <c r="P4" s="13" t="s">
        <v>21</v>
      </c>
      <c r="Q4" s="14" t="s">
        <v>22</v>
      </c>
      <c r="R4" s="14" t="s">
        <v>23</v>
      </c>
      <c r="S4" s="14" t="s">
        <v>24</v>
      </c>
      <c r="T4" s="14" t="s">
        <v>25</v>
      </c>
      <c r="U4" s="15" t="s">
        <v>26</v>
      </c>
      <c r="X4" s="213" t="s">
        <v>174</v>
      </c>
      <c r="Y4" s="213" t="s">
        <v>175</v>
      </c>
      <c r="Z4" s="213" t="s">
        <v>176</v>
      </c>
      <c r="AA4" s="213" t="s">
        <v>177</v>
      </c>
      <c r="AB4" s="214" t="s">
        <v>178</v>
      </c>
      <c r="AC4" s="214" t="s">
        <v>179</v>
      </c>
      <c r="AD4" s="215" t="s">
        <v>180</v>
      </c>
      <c r="AE4" s="215" t="s">
        <v>181</v>
      </c>
      <c r="AF4" s="215" t="s">
        <v>182</v>
      </c>
      <c r="AG4" s="216" t="s">
        <v>173</v>
      </c>
      <c r="AJ4" s="43">
        <v>0</v>
      </c>
      <c r="AK4" s="43">
        <v>0</v>
      </c>
      <c r="AL4" s="43" t="str">
        <v>rok "0"</v>
      </c>
      <c r="AM4" s="43">
        <v>1</v>
      </c>
      <c r="AN4" s="43">
        <v>2</v>
      </c>
      <c r="AO4" s="43">
        <v>3</v>
      </c>
      <c r="AP4" s="43">
        <v>4</v>
      </c>
      <c r="AQ4" s="43">
        <v>5</v>
      </c>
      <c r="AR4" s="43">
        <v>6</v>
      </c>
      <c r="AS4" s="43">
        <v>7</v>
      </c>
      <c r="AT4" s="43">
        <v>8</v>
      </c>
      <c r="AU4" s="43">
        <v>9</v>
      </c>
      <c r="AV4" s="43">
        <v>10</v>
      </c>
      <c r="AW4" s="43">
        <v>0</v>
      </c>
      <c r="AZ4" s="43">
        <v>0</v>
      </c>
      <c r="BA4" s="43">
        <v>0</v>
      </c>
      <c r="BB4" s="43" t="str">
        <v>rok "0"</v>
      </c>
      <c r="BC4" s="43">
        <v>1</v>
      </c>
      <c r="BD4" s="43">
        <v>2</v>
      </c>
      <c r="BE4" s="43">
        <v>3</v>
      </c>
      <c r="BF4" s="43">
        <v>4</v>
      </c>
      <c r="BG4" s="43">
        <v>5</v>
      </c>
      <c r="BH4" s="43">
        <v>6</v>
      </c>
      <c r="BI4" s="43">
        <v>7</v>
      </c>
      <c r="BJ4" s="43">
        <v>8</v>
      </c>
      <c r="BK4" s="43">
        <v>9</v>
      </c>
      <c r="BL4" s="43">
        <v>10</v>
      </c>
      <c r="BM4" s="43">
        <v>0</v>
      </c>
      <c r="BP4" s="43">
        <v>0</v>
      </c>
      <c r="BQ4" s="43">
        <v>0</v>
      </c>
      <c r="BR4" s="43" t="str">
        <v>rok "0"</v>
      </c>
      <c r="BS4" s="43">
        <v>1</v>
      </c>
      <c r="BT4" s="43">
        <v>2</v>
      </c>
      <c r="BU4" s="43">
        <v>3</v>
      </c>
      <c r="BV4" s="43">
        <v>4</v>
      </c>
      <c r="BW4" s="43">
        <v>5</v>
      </c>
      <c r="BX4" s="43">
        <v>6</v>
      </c>
      <c r="BY4" s="43">
        <v>7</v>
      </c>
      <c r="BZ4" s="43">
        <v>8</v>
      </c>
      <c r="CA4" s="43">
        <v>9</v>
      </c>
      <c r="CB4" s="43">
        <v>10</v>
      </c>
      <c r="CC4" s="43">
        <v>0</v>
      </c>
    </row>
    <row r="5" spans="1:81" ht="15.75" customHeight="1" x14ac:dyDescent="0.25">
      <c r="A5" s="178">
        <v>2027</v>
      </c>
      <c r="B5" s="16" t="s">
        <v>27</v>
      </c>
      <c r="C5" s="17">
        <v>16</v>
      </c>
      <c r="D5" s="176">
        <v>13713.556999999999</v>
      </c>
      <c r="E5" s="18">
        <v>0</v>
      </c>
      <c r="F5" s="189">
        <v>12</v>
      </c>
      <c r="G5" s="20">
        <f>C5*D5*F5</f>
        <v>2633002.9439999997</v>
      </c>
      <c r="H5" s="20">
        <f t="shared" ref="H5:H16" si="0">G5*2.45%</f>
        <v>64508.572127999993</v>
      </c>
      <c r="I5" s="20">
        <f>G5*16.93%</f>
        <v>445767.39841919998</v>
      </c>
      <c r="J5" s="20">
        <f>G5*1.5%</f>
        <v>39495.04415999999</v>
      </c>
      <c r="K5" s="20">
        <v>0</v>
      </c>
      <c r="L5" s="20">
        <f t="shared" ref="L5:L16" si="1">K5*2.45%</f>
        <v>0</v>
      </c>
      <c r="M5" s="20">
        <f t="shared" ref="M5:M16" si="2">K5*17.19%</f>
        <v>0</v>
      </c>
      <c r="N5" s="20">
        <f>K5*1.5%</f>
        <v>0</v>
      </c>
      <c r="O5" s="21">
        <f>SUM(G5:N5)</f>
        <v>3182773.9587071999</v>
      </c>
      <c r="P5" s="177">
        <f>2943.23*C5</f>
        <v>47091.68</v>
      </c>
      <c r="Q5" s="177">
        <f>C5*550</f>
        <v>8800</v>
      </c>
      <c r="R5" s="96"/>
      <c r="S5" s="118">
        <f>C5*(600)</f>
        <v>9600</v>
      </c>
      <c r="T5" s="22">
        <f>SUM(P5:S5)</f>
        <v>65491.68</v>
      </c>
      <c r="U5" s="217">
        <f>(O5+T5)</f>
        <v>3248265.6387072001</v>
      </c>
      <c r="V5" s="4"/>
      <c r="X5" s="20">
        <f t="shared" ref="X5:X15" si="3">G5+K5</f>
        <v>2633002.9439999997</v>
      </c>
      <c r="Y5" s="20">
        <f>X5*13.71%</f>
        <v>360984.70362239995</v>
      </c>
      <c r="Z5" s="20">
        <f t="shared" ref="Z5:Z15" si="4">F5*250*C5</f>
        <v>48000</v>
      </c>
      <c r="AA5" s="20">
        <f>X5-Y5-Z5</f>
        <v>2224018.2403775998</v>
      </c>
      <c r="AB5" s="218">
        <f t="shared" ref="AB5:AB15" si="5">AA5/C5</f>
        <v>139001.14002359999</v>
      </c>
      <c r="AC5" s="218">
        <f>IF(AB5&lt;120000,((AB5*0.12)-3600),((10800+((AB5-120000)*0.32))))</f>
        <v>16880.364807551996</v>
      </c>
      <c r="AD5" s="219">
        <f t="shared" ref="AD5:AD15" si="6">AC5*C5</f>
        <v>270085.83692083193</v>
      </c>
      <c r="AE5" s="219">
        <f t="shared" ref="AE5:AE15" si="7">I5+M5+Y5</f>
        <v>806752.10204159992</v>
      </c>
      <c r="AF5" s="219">
        <f>(X5-Y5)*0.09</f>
        <v>204481.64163398399</v>
      </c>
      <c r="AG5" s="219">
        <f t="shared" ref="AG5:AG15" si="8">H5+L5</f>
        <v>64508.572127999993</v>
      </c>
      <c r="AJ5" s="43">
        <v>0</v>
      </c>
      <c r="AK5" s="43" t="str">
        <v>liczba etatów</v>
      </c>
      <c r="AL5" s="43">
        <v>16</v>
      </c>
      <c r="AM5" s="43">
        <v>16</v>
      </c>
      <c r="AN5" s="43">
        <v>16</v>
      </c>
      <c r="AO5" s="43">
        <v>16</v>
      </c>
      <c r="AP5" s="43">
        <v>16</v>
      </c>
      <c r="AQ5" s="43">
        <v>16</v>
      </c>
      <c r="AR5" s="43">
        <v>16</v>
      </c>
      <c r="AS5" s="43">
        <v>16</v>
      </c>
      <c r="AT5" s="43">
        <v>16</v>
      </c>
      <c r="AU5" s="43">
        <v>16</v>
      </c>
      <c r="AV5" s="43">
        <v>16</v>
      </c>
      <c r="AW5" s="43">
        <v>0</v>
      </c>
      <c r="AZ5" s="43">
        <v>0</v>
      </c>
      <c r="BA5" s="43" t="str">
        <v>liczba etatów</v>
      </c>
      <c r="BB5" s="43">
        <v>1</v>
      </c>
      <c r="BC5" s="43">
        <v>1</v>
      </c>
      <c r="BD5" s="43">
        <v>1</v>
      </c>
      <c r="BE5" s="43">
        <v>1</v>
      </c>
      <c r="BF5" s="43">
        <v>1</v>
      </c>
      <c r="BG5" s="43">
        <v>1</v>
      </c>
      <c r="BH5" s="43">
        <v>1</v>
      </c>
      <c r="BI5" s="43">
        <v>1</v>
      </c>
      <c r="BJ5" s="43">
        <v>1</v>
      </c>
      <c r="BK5" s="43">
        <v>1</v>
      </c>
      <c r="BL5" s="43">
        <v>1</v>
      </c>
      <c r="BM5" s="43">
        <v>0</v>
      </c>
      <c r="BP5" s="43">
        <v>0</v>
      </c>
      <c r="BQ5" s="43" t="str">
        <v>liczba etatów</v>
      </c>
      <c r="BR5" s="43">
        <v>1</v>
      </c>
      <c r="BS5" s="43">
        <v>1</v>
      </c>
      <c r="BT5" s="43">
        <v>1</v>
      </c>
      <c r="BU5" s="43">
        <v>1</v>
      </c>
      <c r="BV5" s="43">
        <v>1</v>
      </c>
      <c r="BW5" s="43">
        <v>1</v>
      </c>
      <c r="BX5" s="43">
        <v>1</v>
      </c>
      <c r="BY5" s="43">
        <v>1</v>
      </c>
      <c r="BZ5" s="43">
        <v>1</v>
      </c>
      <c r="CA5" s="43">
        <v>1</v>
      </c>
      <c r="CB5" s="43">
        <v>1</v>
      </c>
      <c r="CC5" s="43">
        <v>0</v>
      </c>
    </row>
    <row r="6" spans="1:81" ht="15.75" customHeight="1" x14ac:dyDescent="0.25">
      <c r="A6" s="178">
        <v>2028</v>
      </c>
      <c r="B6" s="17">
        <v>1</v>
      </c>
      <c r="C6" s="17">
        <v>16</v>
      </c>
      <c r="D6" s="176">
        <f t="shared" ref="D6:D14" si="9">D5*E6</f>
        <v>14042.682368</v>
      </c>
      <c r="E6" s="18">
        <v>1.024</v>
      </c>
      <c r="F6" s="19">
        <v>12</v>
      </c>
      <c r="G6" s="20">
        <f t="shared" ref="G6:G15" si="10">C6*D6*F6</f>
        <v>2696195.0146559998</v>
      </c>
      <c r="H6" s="20">
        <f t="shared" si="0"/>
        <v>66056.777859071997</v>
      </c>
      <c r="I6" s="20">
        <f>G6*16.93%</f>
        <v>456465.81598126079</v>
      </c>
      <c r="J6" s="20">
        <f t="shared" ref="J6:J15" si="11">G6*1.5%</f>
        <v>40442.925219839999</v>
      </c>
      <c r="K6" s="20">
        <f t="shared" ref="K6:K15" si="12">G5*8.5%</f>
        <v>223805.25023999999</v>
      </c>
      <c r="L6" s="20">
        <f t="shared" si="1"/>
        <v>5483.2286308800003</v>
      </c>
      <c r="M6" s="20">
        <f>K6*16.93%</f>
        <v>37890.228865632002</v>
      </c>
      <c r="N6" s="20">
        <f t="shared" ref="N6:N15" si="13">K6*1.5%</f>
        <v>3357.0787535999998</v>
      </c>
      <c r="O6" s="21">
        <f t="shared" ref="O6:O15" si="14">SUM(G6:N6)</f>
        <v>3529696.3202062845</v>
      </c>
      <c r="P6" s="177">
        <f>P5*E6</f>
        <v>48221.880320000004</v>
      </c>
      <c r="Q6" s="96"/>
      <c r="R6" s="117"/>
      <c r="S6" s="118"/>
      <c r="T6" s="22">
        <f t="shared" ref="T6:T14" si="15">SUM(P6:S6)</f>
        <v>48221.880320000004</v>
      </c>
      <c r="U6" s="217">
        <f t="shared" ref="U6:U16" si="16">O6+T6</f>
        <v>3577918.2005262845</v>
      </c>
      <c r="V6" s="4"/>
      <c r="X6" s="20">
        <f t="shared" si="3"/>
        <v>2920000.2648959998</v>
      </c>
      <c r="Y6" s="20">
        <f t="shared" ref="Y6:Y15" si="17">X6*13.71%</f>
        <v>400332.03631724155</v>
      </c>
      <c r="Z6" s="20">
        <f t="shared" si="4"/>
        <v>48000</v>
      </c>
      <c r="AA6" s="20">
        <f t="shared" ref="AA6:AA15" si="18">X6-Y6-Z6</f>
        <v>2471668.2285787584</v>
      </c>
      <c r="AB6" s="218">
        <f t="shared" si="5"/>
        <v>154479.2642861724</v>
      </c>
      <c r="AC6" s="218">
        <f t="shared" ref="AC6:AC15" si="19">IF(AB6&lt;120000,((AB6*0.12)-3600),((10800+((AB6-120000)*0.32))))</f>
        <v>21833.36457157517</v>
      </c>
      <c r="AD6" s="219">
        <f t="shared" si="6"/>
        <v>349333.83314520272</v>
      </c>
      <c r="AE6" s="219">
        <f t="shared" si="7"/>
        <v>894688.08116413443</v>
      </c>
      <c r="AF6" s="219">
        <f t="shared" ref="AF6:AF15" si="20">(X6-Y6)*0.09</f>
        <v>226770.14057208825</v>
      </c>
      <c r="AG6" s="219">
        <f t="shared" si="8"/>
        <v>71540.006489951993</v>
      </c>
      <c r="AJ6" s="43" t="str">
        <v>wynagrodzenia oraz dotatkowe wynagrodzenie roczne wraz pochodnymi</v>
      </c>
      <c r="AK6" s="43" t="str">
        <v>średnia płaca w UOKiK dla korpusu służby cywilnej z uwzględnieniem stopy wzrostu - pracownicy merytoryczni</v>
      </c>
      <c r="AL6" s="43">
        <v>13713.556999999999</v>
      </c>
      <c r="AM6" s="43">
        <v>14042.682368</v>
      </c>
      <c r="AN6" s="43">
        <v>14379.706744831999</v>
      </c>
      <c r="AO6" s="43">
        <v>14696.060293218303</v>
      </c>
      <c r="AP6" s="43">
        <v>15063.461800548759</v>
      </c>
      <c r="AQ6" s="43">
        <v>15440.048345562476</v>
      </c>
      <c r="AR6" s="43">
        <v>15826.049554201536</v>
      </c>
      <c r="AS6" s="43">
        <v>16221.700793056572</v>
      </c>
      <c r="AT6" s="43">
        <v>16627.243312882983</v>
      </c>
      <c r="AU6" s="43">
        <v>17042.924395705057</v>
      </c>
      <c r="AV6" s="43">
        <v>17468.997505597683</v>
      </c>
      <c r="AW6" s="43">
        <v>0</v>
      </c>
      <c r="AZ6" s="43" t="str">
        <v>wynagrodzenia oraz dotatkowe wynagrodzenie roczne wraz pochodnymi</v>
      </c>
      <c r="BA6" s="43" t="str">
        <v>średnia płaca w UOKiK dla korpusu służby cywilnej z uwzględnieniem stopy wzrostu - pracownik obsługi</v>
      </c>
      <c r="BB6" s="43">
        <v>13713.556999999999</v>
      </c>
      <c r="BC6" s="43">
        <v>14042.682368</v>
      </c>
      <c r="BD6" s="43">
        <v>14379.706744831999</v>
      </c>
      <c r="BE6" s="43">
        <v>14696.060293218303</v>
      </c>
      <c r="BF6" s="43">
        <v>15063.461800548759</v>
      </c>
      <c r="BG6" s="43">
        <v>15440.048345562476</v>
      </c>
      <c r="BH6" s="43">
        <v>15826.049554201536</v>
      </c>
      <c r="BI6" s="43">
        <v>16221.700793056572</v>
      </c>
      <c r="BJ6" s="43">
        <v>16627.243312882983</v>
      </c>
      <c r="BK6" s="43">
        <v>17042.924395705057</v>
      </c>
      <c r="BL6" s="43">
        <v>17468.997505597683</v>
      </c>
      <c r="BM6" s="43">
        <v>0</v>
      </c>
      <c r="BP6" s="43" t="str">
        <v>wynagrodzenia oraz dotatkowe wynagrodzenie roczne wraz pochodnymi</v>
      </c>
      <c r="BQ6" s="43" t="str">
        <v>średnia płaca w UOKiK dla korpusu służby cywilnej z uwzględnieniem stopy wzrostu - wyższe stanowiska</v>
      </c>
      <c r="BR6" s="43">
        <v>25000</v>
      </c>
      <c r="BS6" s="43">
        <v>25600</v>
      </c>
      <c r="BT6" s="43">
        <v>26214.400000000001</v>
      </c>
      <c r="BU6" s="43">
        <v>26791.116800000003</v>
      </c>
      <c r="BV6" s="43">
        <v>27460.89472</v>
      </c>
      <c r="BW6" s="43">
        <v>28147.417087999998</v>
      </c>
      <c r="BX6" s="43">
        <v>28851.102515199997</v>
      </c>
      <c r="BY6" s="43">
        <v>29572.380078079994</v>
      </c>
      <c r="BZ6" s="43">
        <v>30311.689580031991</v>
      </c>
      <c r="CA6" s="43">
        <v>31069.481819532786</v>
      </c>
      <c r="CB6" s="43">
        <v>31846.218865021103</v>
      </c>
      <c r="CC6" s="43">
        <v>0</v>
      </c>
    </row>
    <row r="7" spans="1:81" ht="15.75" customHeight="1" x14ac:dyDescent="0.25">
      <c r="A7" s="178">
        <v>2029</v>
      </c>
      <c r="B7" s="17">
        <v>2</v>
      </c>
      <c r="C7" s="17">
        <v>16</v>
      </c>
      <c r="D7" s="176">
        <f t="shared" si="9"/>
        <v>14379.706744831999</v>
      </c>
      <c r="E7" s="18">
        <v>1.024</v>
      </c>
      <c r="F7" s="19">
        <v>12</v>
      </c>
      <c r="G7" s="20">
        <f t="shared" si="10"/>
        <v>2760903.6950077438</v>
      </c>
      <c r="H7" s="20">
        <f t="shared" si="0"/>
        <v>67642.140527689728</v>
      </c>
      <c r="I7" s="20">
        <f t="shared" ref="I7:I15" si="21">G7*16.93%</f>
        <v>467420.99556481105</v>
      </c>
      <c r="J7" s="20">
        <f t="shared" si="11"/>
        <v>41413.555425116152</v>
      </c>
      <c r="K7" s="20">
        <f t="shared" si="12"/>
        <v>229176.57624575999</v>
      </c>
      <c r="L7" s="20">
        <f t="shared" si="1"/>
        <v>5614.8261180211202</v>
      </c>
      <c r="M7" s="20">
        <f t="shared" ref="M7:M15" si="22">K7*16.93%</f>
        <v>38799.594358407165</v>
      </c>
      <c r="N7" s="20">
        <f t="shared" si="13"/>
        <v>3437.6486436863997</v>
      </c>
      <c r="O7" s="21">
        <f t="shared" si="14"/>
        <v>3614409.0318912356</v>
      </c>
      <c r="P7" s="177">
        <f t="shared" ref="P7:P15" si="23">P6*E7</f>
        <v>49379.205447680004</v>
      </c>
      <c r="Q7" s="96"/>
      <c r="R7" s="177">
        <f>661*$E6*$E7*$C7</f>
        <v>11089.739776</v>
      </c>
      <c r="S7" s="220">
        <f>S5*$E7*$E6</f>
        <v>10066.329599999999</v>
      </c>
      <c r="T7" s="22">
        <f t="shared" si="15"/>
        <v>70535.274823680011</v>
      </c>
      <c r="U7" s="217">
        <f t="shared" si="16"/>
        <v>3684944.3067149157</v>
      </c>
      <c r="V7" s="4"/>
      <c r="X7" s="20">
        <f t="shared" si="3"/>
        <v>2990080.2712535039</v>
      </c>
      <c r="Y7" s="20">
        <f t="shared" si="17"/>
        <v>409940.0051888554</v>
      </c>
      <c r="Z7" s="20">
        <f t="shared" si="4"/>
        <v>48000</v>
      </c>
      <c r="AA7" s="20">
        <f t="shared" si="18"/>
        <v>2532140.2660646485</v>
      </c>
      <c r="AB7" s="218">
        <f t="shared" si="5"/>
        <v>158258.76662904053</v>
      </c>
      <c r="AC7" s="218">
        <f t="shared" si="19"/>
        <v>23042.80532129297</v>
      </c>
      <c r="AD7" s="219">
        <f t="shared" si="6"/>
        <v>368684.88514068752</v>
      </c>
      <c r="AE7" s="219">
        <f t="shared" si="7"/>
        <v>916160.5951120737</v>
      </c>
      <c r="AF7" s="219">
        <f t="shared" si="20"/>
        <v>232212.62394581837</v>
      </c>
      <c r="AG7" s="219">
        <f t="shared" si="8"/>
        <v>73256.966645710854</v>
      </c>
      <c r="AJ7" s="43">
        <v>0</v>
      </c>
      <c r="AK7" s="43" t="str">
        <v>wzrost kosztów (CPI)</v>
      </c>
      <c r="AL7" s="43">
        <v>0</v>
      </c>
      <c r="AM7" s="43">
        <v>1.024</v>
      </c>
      <c r="AN7" s="43">
        <v>1.024</v>
      </c>
      <c r="AO7" s="43">
        <v>1.022</v>
      </c>
      <c r="AP7" s="43">
        <v>1.0249999999999999</v>
      </c>
      <c r="AQ7" s="43">
        <v>1.0249999999999999</v>
      </c>
      <c r="AR7" s="43">
        <v>1.0249999999999999</v>
      </c>
      <c r="AS7" s="43">
        <v>1.0249999999999999</v>
      </c>
      <c r="AT7" s="43">
        <v>1.0249999999999999</v>
      </c>
      <c r="AU7" s="43">
        <v>1.0249999999999999</v>
      </c>
      <c r="AV7" s="43">
        <v>1.0249999999999999</v>
      </c>
      <c r="AW7" s="43">
        <v>0</v>
      </c>
      <c r="AZ7" s="43">
        <v>0</v>
      </c>
      <c r="BA7" s="43" t="str">
        <v>CPI</v>
      </c>
      <c r="BB7" s="43">
        <v>0</v>
      </c>
      <c r="BC7" s="43">
        <v>1.024</v>
      </c>
      <c r="BD7" s="43">
        <v>1.024</v>
      </c>
      <c r="BE7" s="43">
        <v>1.022</v>
      </c>
      <c r="BF7" s="43">
        <v>1.0249999999999999</v>
      </c>
      <c r="BG7" s="43">
        <v>1.0249999999999999</v>
      </c>
      <c r="BH7" s="43">
        <v>1.0249999999999999</v>
      </c>
      <c r="BI7" s="43">
        <v>1.0249999999999999</v>
      </c>
      <c r="BJ7" s="43">
        <v>1.0249999999999999</v>
      </c>
      <c r="BK7" s="43">
        <v>1.0249999999999999</v>
      </c>
      <c r="BL7" s="43">
        <v>1.0249999999999999</v>
      </c>
      <c r="BM7" s="43">
        <v>0</v>
      </c>
      <c r="BP7" s="43">
        <v>0</v>
      </c>
      <c r="BQ7" s="43" t="str">
        <v>wzrost kosztów (CPI)</v>
      </c>
      <c r="BR7" s="43">
        <v>0</v>
      </c>
      <c r="BS7" s="43">
        <v>1.024</v>
      </c>
      <c r="BT7" s="43">
        <v>1.024</v>
      </c>
      <c r="BU7" s="43">
        <v>1.022</v>
      </c>
      <c r="BV7" s="43">
        <v>1.0249999999999999</v>
      </c>
      <c r="BW7" s="43">
        <v>1.0249999999999999</v>
      </c>
      <c r="BX7" s="43">
        <v>1.0249999999999999</v>
      </c>
      <c r="BY7" s="43">
        <v>1.0249999999999999</v>
      </c>
      <c r="BZ7" s="43">
        <v>1.0249999999999999</v>
      </c>
      <c r="CA7" s="43">
        <v>1.0249999999999999</v>
      </c>
      <c r="CB7" s="43">
        <v>1.0249999999999999</v>
      </c>
      <c r="CC7" s="43">
        <v>0</v>
      </c>
    </row>
    <row r="8" spans="1:81" ht="15.75" customHeight="1" x14ac:dyDescent="0.25">
      <c r="A8" s="178">
        <v>2030</v>
      </c>
      <c r="B8" s="17">
        <v>3</v>
      </c>
      <c r="C8" s="17">
        <v>16</v>
      </c>
      <c r="D8" s="176">
        <f t="shared" si="9"/>
        <v>14696.060293218303</v>
      </c>
      <c r="E8" s="18">
        <v>1.022</v>
      </c>
      <c r="F8" s="19">
        <v>12</v>
      </c>
      <c r="G8" s="20">
        <f t="shared" si="10"/>
        <v>2821643.5762979141</v>
      </c>
      <c r="H8" s="20">
        <f t="shared" si="0"/>
        <v>69130.267619298902</v>
      </c>
      <c r="I8" s="20">
        <f t="shared" si="21"/>
        <v>477704.25746723689</v>
      </c>
      <c r="J8" s="20">
        <f t="shared" si="11"/>
        <v>42324.653644468708</v>
      </c>
      <c r="K8" s="20">
        <f t="shared" si="12"/>
        <v>234676.81407565824</v>
      </c>
      <c r="L8" s="20">
        <f t="shared" si="1"/>
        <v>5749.5819448536267</v>
      </c>
      <c r="M8" s="20">
        <f t="shared" si="22"/>
        <v>39730.784623008942</v>
      </c>
      <c r="N8" s="20">
        <f t="shared" si="13"/>
        <v>3520.1522111348736</v>
      </c>
      <c r="O8" s="21">
        <f t="shared" si="14"/>
        <v>3694480.087883574</v>
      </c>
      <c r="P8" s="177">
        <f t="shared" si="23"/>
        <v>50465.547967528968</v>
      </c>
      <c r="Q8" s="96"/>
      <c r="R8" s="118"/>
      <c r="S8" s="118"/>
      <c r="T8" s="22">
        <f t="shared" si="15"/>
        <v>50465.547967528968</v>
      </c>
      <c r="U8" s="217">
        <f t="shared" si="16"/>
        <v>3744945.6358511029</v>
      </c>
      <c r="V8" s="4"/>
      <c r="X8" s="20">
        <f t="shared" si="3"/>
        <v>3056320.3903735722</v>
      </c>
      <c r="Y8" s="20">
        <f t="shared" si="17"/>
        <v>419021.52552021673</v>
      </c>
      <c r="Z8" s="20">
        <f t="shared" si="4"/>
        <v>48000</v>
      </c>
      <c r="AA8" s="20">
        <f t="shared" si="18"/>
        <v>2589298.8648533556</v>
      </c>
      <c r="AB8" s="218">
        <f t="shared" si="5"/>
        <v>161831.17905333472</v>
      </c>
      <c r="AC8" s="218">
        <f t="shared" si="19"/>
        <v>24185.977297067111</v>
      </c>
      <c r="AD8" s="219">
        <f t="shared" si="6"/>
        <v>386975.63675307378</v>
      </c>
      <c r="AE8" s="219">
        <f t="shared" si="7"/>
        <v>936456.56761046255</v>
      </c>
      <c r="AF8" s="219">
        <f t="shared" si="20"/>
        <v>237356.897836802</v>
      </c>
      <c r="AG8" s="219">
        <f t="shared" si="8"/>
        <v>74879.849564152522</v>
      </c>
      <c r="AJ8" s="43">
        <v>0</v>
      </c>
      <c r="AK8" s="43" t="str">
        <v>liczba miesięcy</v>
      </c>
      <c r="AL8" s="43">
        <v>12</v>
      </c>
      <c r="AM8" s="43">
        <v>12</v>
      </c>
      <c r="AN8" s="43">
        <v>12</v>
      </c>
      <c r="AO8" s="43">
        <v>12</v>
      </c>
      <c r="AP8" s="43">
        <v>12</v>
      </c>
      <c r="AQ8" s="43">
        <v>12</v>
      </c>
      <c r="AR8" s="43">
        <v>12</v>
      </c>
      <c r="AS8" s="43">
        <v>12</v>
      </c>
      <c r="AT8" s="43">
        <v>12</v>
      </c>
      <c r="AU8" s="43">
        <v>12</v>
      </c>
      <c r="AV8" s="43">
        <v>12</v>
      </c>
      <c r="AW8" s="43">
        <v>0</v>
      </c>
      <c r="AZ8" s="43">
        <v>0</v>
      </c>
      <c r="BA8" s="43" t="str">
        <v>liczba miesięcy</v>
      </c>
      <c r="BB8" s="43">
        <v>12</v>
      </c>
      <c r="BC8" s="43">
        <v>12</v>
      </c>
      <c r="BD8" s="43">
        <v>12</v>
      </c>
      <c r="BE8" s="43">
        <v>12</v>
      </c>
      <c r="BF8" s="43">
        <v>12</v>
      </c>
      <c r="BG8" s="43">
        <v>12</v>
      </c>
      <c r="BH8" s="43">
        <v>12</v>
      </c>
      <c r="BI8" s="43">
        <v>12</v>
      </c>
      <c r="BJ8" s="43">
        <v>12</v>
      </c>
      <c r="BK8" s="43">
        <v>12</v>
      </c>
      <c r="BL8" s="43">
        <v>12</v>
      </c>
      <c r="BM8" s="43">
        <v>0</v>
      </c>
      <c r="BP8" s="43">
        <v>0</v>
      </c>
      <c r="BQ8" s="43" t="str">
        <v>liczba miesięcy</v>
      </c>
      <c r="BR8" s="43">
        <v>12</v>
      </c>
      <c r="BS8" s="43">
        <v>12</v>
      </c>
      <c r="BT8" s="43">
        <v>12</v>
      </c>
      <c r="BU8" s="43">
        <v>12</v>
      </c>
      <c r="BV8" s="43">
        <v>12</v>
      </c>
      <c r="BW8" s="43">
        <v>12</v>
      </c>
      <c r="BX8" s="43">
        <v>12</v>
      </c>
      <c r="BY8" s="43">
        <v>12</v>
      </c>
      <c r="BZ8" s="43">
        <v>12</v>
      </c>
      <c r="CA8" s="43">
        <v>12</v>
      </c>
      <c r="CB8" s="43">
        <v>12</v>
      </c>
      <c r="CC8" s="43">
        <v>0</v>
      </c>
    </row>
    <row r="9" spans="1:81" ht="15.75" customHeight="1" x14ac:dyDescent="0.25">
      <c r="A9" s="178">
        <v>2031</v>
      </c>
      <c r="B9" s="17">
        <v>4</v>
      </c>
      <c r="C9" s="17">
        <v>16</v>
      </c>
      <c r="D9" s="176">
        <f t="shared" si="9"/>
        <v>15063.461800548759</v>
      </c>
      <c r="E9" s="18">
        <v>1.0249999999999999</v>
      </c>
      <c r="F9" s="19">
        <v>12</v>
      </c>
      <c r="G9" s="20">
        <f t="shared" si="10"/>
        <v>2892184.6657053619</v>
      </c>
      <c r="H9" s="20">
        <f t="shared" si="0"/>
        <v>70858.524309781365</v>
      </c>
      <c r="I9" s="20">
        <f t="shared" si="21"/>
        <v>489646.86390391778</v>
      </c>
      <c r="J9" s="20">
        <f t="shared" si="11"/>
        <v>43382.769985580424</v>
      </c>
      <c r="K9" s="20">
        <f t="shared" si="12"/>
        <v>239839.70398532273</v>
      </c>
      <c r="L9" s="20">
        <f t="shared" si="1"/>
        <v>5876.0727476404072</v>
      </c>
      <c r="M9" s="20">
        <f t="shared" si="22"/>
        <v>40604.861884715137</v>
      </c>
      <c r="N9" s="20">
        <f t="shared" si="13"/>
        <v>3597.5955597798406</v>
      </c>
      <c r="O9" s="21">
        <f t="shared" si="14"/>
        <v>3785991.0580820995</v>
      </c>
      <c r="P9" s="177">
        <f t="shared" si="23"/>
        <v>51727.186666717185</v>
      </c>
      <c r="Q9" s="96"/>
      <c r="R9" s="118">
        <f>R7*$E9*$E8</f>
        <v>11617.056902348801</v>
      </c>
      <c r="S9" s="118">
        <f>S7*$E9*$E8</f>
        <v>10544.983572479998</v>
      </c>
      <c r="T9" s="22">
        <f t="shared" si="15"/>
        <v>73889.227141545984</v>
      </c>
      <c r="U9" s="217">
        <f t="shared" si="16"/>
        <v>3859880.2852236456</v>
      </c>
      <c r="V9" s="4"/>
      <c r="X9" s="20">
        <f t="shared" si="3"/>
        <v>3132024.3696906846</v>
      </c>
      <c r="Y9" s="20">
        <f t="shared" si="17"/>
        <v>429400.54108459287</v>
      </c>
      <c r="Z9" s="20">
        <f t="shared" si="4"/>
        <v>48000</v>
      </c>
      <c r="AA9" s="20">
        <f t="shared" si="18"/>
        <v>2654623.8286060919</v>
      </c>
      <c r="AB9" s="218">
        <f t="shared" si="5"/>
        <v>165913.98928788074</v>
      </c>
      <c r="AC9" s="218">
        <f t="shared" si="19"/>
        <v>25492.476572121839</v>
      </c>
      <c r="AD9" s="219">
        <f t="shared" si="6"/>
        <v>407879.62515394943</v>
      </c>
      <c r="AE9" s="219">
        <f t="shared" si="7"/>
        <v>959652.2668732258</v>
      </c>
      <c r="AF9" s="219">
        <f t="shared" si="20"/>
        <v>243236.14457454826</v>
      </c>
      <c r="AG9" s="219">
        <f t="shared" si="8"/>
        <v>76734.597057421779</v>
      </c>
      <c r="AJ9" s="43">
        <v>0</v>
      </c>
      <c r="AK9" s="43" t="str">
        <v>wynagrodzenie</v>
      </c>
      <c r="AL9" s="43">
        <v>2633002.9439999997</v>
      </c>
      <c r="AM9" s="43">
        <v>2696195.0146559998</v>
      </c>
      <c r="AN9" s="43">
        <v>2760903.6950077438</v>
      </c>
      <c r="AO9" s="43">
        <v>2821643.5762979141</v>
      </c>
      <c r="AP9" s="43">
        <v>2892184.6657053619</v>
      </c>
      <c r="AQ9" s="43">
        <v>2964489.2823479953</v>
      </c>
      <c r="AR9" s="43">
        <v>3038601.514406695</v>
      </c>
      <c r="AS9" s="43">
        <v>3114566.5522668618</v>
      </c>
      <c r="AT9" s="43">
        <v>3192430.7160735326</v>
      </c>
      <c r="AU9" s="43">
        <v>3272241.4839753709</v>
      </c>
      <c r="AV9" s="43">
        <v>3354047.5210747551</v>
      </c>
      <c r="AW9" s="43">
        <v>32740306.965812229</v>
      </c>
      <c r="AZ9" s="43">
        <v>0</v>
      </c>
      <c r="BA9" s="43" t="str">
        <v>wynagrodzenie</v>
      </c>
      <c r="BB9" s="43">
        <v>164562.68399999998</v>
      </c>
      <c r="BC9" s="43">
        <v>168512.18841599999</v>
      </c>
      <c r="BD9" s="43">
        <v>172556.48093798399</v>
      </c>
      <c r="BE9" s="43">
        <v>176352.72351861963</v>
      </c>
      <c r="BF9" s="43">
        <v>180761.54160658512</v>
      </c>
      <c r="BG9" s="43">
        <v>185280.58014674971</v>
      </c>
      <c r="BH9" s="43">
        <v>189912.59465041844</v>
      </c>
      <c r="BI9" s="43">
        <v>194660.40951667886</v>
      </c>
      <c r="BJ9" s="43">
        <v>199526.91975459579</v>
      </c>
      <c r="BK9" s="43">
        <v>204515.09274846068</v>
      </c>
      <c r="BL9" s="43">
        <v>209627.97006717219</v>
      </c>
      <c r="BM9" s="43">
        <v>2046269.1853632643</v>
      </c>
      <c r="BP9" s="43">
        <v>0</v>
      </c>
      <c r="BQ9" s="43" t="str">
        <v>wynagrodzenie</v>
      </c>
      <c r="BR9" s="43">
        <v>300000</v>
      </c>
      <c r="BS9" s="43">
        <v>307200</v>
      </c>
      <c r="BT9" s="43">
        <v>314572.80000000005</v>
      </c>
      <c r="BU9" s="43">
        <v>321493.40160000004</v>
      </c>
      <c r="BV9" s="43">
        <v>329530.73664000002</v>
      </c>
      <c r="BW9" s="43">
        <v>337769.00505599997</v>
      </c>
      <c r="BX9" s="43">
        <v>346213.23018239997</v>
      </c>
      <c r="BY9" s="43">
        <v>354868.56093695993</v>
      </c>
      <c r="BZ9" s="43">
        <v>363740.27496038389</v>
      </c>
      <c r="CA9" s="43">
        <v>372833.78183439345</v>
      </c>
      <c r="CB9" s="43">
        <v>382154.62638025323</v>
      </c>
      <c r="CC9" s="43">
        <v>3730376.41759039</v>
      </c>
    </row>
    <row r="10" spans="1:81" ht="15.75" customHeight="1" x14ac:dyDescent="0.25">
      <c r="A10" s="178">
        <v>2032</v>
      </c>
      <c r="B10" s="17">
        <v>5</v>
      </c>
      <c r="C10" s="17">
        <v>16</v>
      </c>
      <c r="D10" s="176">
        <f t="shared" si="9"/>
        <v>15440.048345562476</v>
      </c>
      <c r="E10" s="18">
        <v>1.0249999999999999</v>
      </c>
      <c r="F10" s="19">
        <v>12</v>
      </c>
      <c r="G10" s="20">
        <f t="shared" si="10"/>
        <v>2964489.2823479953</v>
      </c>
      <c r="H10" s="20">
        <f t="shared" si="0"/>
        <v>72629.987417525888</v>
      </c>
      <c r="I10" s="20">
        <f t="shared" si="21"/>
        <v>501888.03550151561</v>
      </c>
      <c r="J10" s="20">
        <f t="shared" si="11"/>
        <v>44467.33923521993</v>
      </c>
      <c r="K10" s="20">
        <f t="shared" si="12"/>
        <v>245835.69658495579</v>
      </c>
      <c r="L10" s="20">
        <f t="shared" si="1"/>
        <v>6022.974566331417</v>
      </c>
      <c r="M10" s="20">
        <f t="shared" si="22"/>
        <v>41619.983431833018</v>
      </c>
      <c r="N10" s="20">
        <f t="shared" si="13"/>
        <v>3687.5354487743366</v>
      </c>
      <c r="O10" s="21">
        <f t="shared" si="14"/>
        <v>3880640.8345341515</v>
      </c>
      <c r="P10" s="177">
        <f t="shared" si="23"/>
        <v>53020.366333385107</v>
      </c>
      <c r="Q10" s="96"/>
      <c r="R10" s="118"/>
      <c r="S10" s="118"/>
      <c r="T10" s="22">
        <f t="shared" si="15"/>
        <v>53020.366333385107</v>
      </c>
      <c r="U10" s="217">
        <f t="shared" si="16"/>
        <v>3933661.2008675365</v>
      </c>
      <c r="V10" s="4"/>
      <c r="X10" s="20">
        <f t="shared" si="3"/>
        <v>3210324.9789329511</v>
      </c>
      <c r="Y10" s="20">
        <f t="shared" si="17"/>
        <v>440135.55461170757</v>
      </c>
      <c r="Z10" s="20">
        <f t="shared" si="4"/>
        <v>48000</v>
      </c>
      <c r="AA10" s="20">
        <f t="shared" si="18"/>
        <v>2722189.4243212435</v>
      </c>
      <c r="AB10" s="218">
        <f t="shared" si="5"/>
        <v>170136.83902007772</v>
      </c>
      <c r="AC10" s="218">
        <f t="shared" si="19"/>
        <v>26843.78848642487</v>
      </c>
      <c r="AD10" s="219">
        <f t="shared" si="6"/>
        <v>429500.61578279792</v>
      </c>
      <c r="AE10" s="219">
        <f t="shared" si="7"/>
        <v>983643.57354505616</v>
      </c>
      <c r="AF10" s="219">
        <f t="shared" si="20"/>
        <v>249317.0481889119</v>
      </c>
      <c r="AG10" s="219">
        <f t="shared" si="8"/>
        <v>78652.961983857298</v>
      </c>
      <c r="AJ10" s="43">
        <v>0</v>
      </c>
      <c r="AK10" s="43" t="str">
        <v>pochodne Fundusz Pracy i Fundusz Solidarnościowy</v>
      </c>
      <c r="AL10" s="43">
        <v>64508.572127999993</v>
      </c>
      <c r="AM10" s="43">
        <v>66056.777859071997</v>
      </c>
      <c r="AN10" s="43">
        <v>67642.140527689728</v>
      </c>
      <c r="AO10" s="43">
        <v>69130.267619298902</v>
      </c>
      <c r="AP10" s="43">
        <v>70858.524309781365</v>
      </c>
      <c r="AQ10" s="43">
        <v>72629.987417525888</v>
      </c>
      <c r="AR10" s="43">
        <v>74445.737102964034</v>
      </c>
      <c r="AS10" s="43">
        <v>76306.88053053811</v>
      </c>
      <c r="AT10" s="43">
        <v>78214.552543801547</v>
      </c>
      <c r="AU10" s="43">
        <v>80169.916357396593</v>
      </c>
      <c r="AV10" s="43">
        <v>82174.1642663315</v>
      </c>
      <c r="AW10" s="43">
        <v>802137.52066239959</v>
      </c>
      <c r="AZ10" s="43">
        <v>0</v>
      </c>
      <c r="BA10" s="43" t="str">
        <v>pochodne Fundusz Pracy</v>
      </c>
      <c r="BB10" s="43">
        <v>4031.7857579999995</v>
      </c>
      <c r="BC10" s="43">
        <v>4128.5486161919998</v>
      </c>
      <c r="BD10" s="43">
        <v>4227.633782980608</v>
      </c>
      <c r="BE10" s="43">
        <v>4320.6417262061814</v>
      </c>
      <c r="BF10" s="43">
        <v>4428.6577693613353</v>
      </c>
      <c r="BG10" s="43">
        <v>4539.374213595368</v>
      </c>
      <c r="BH10" s="43">
        <v>4652.8585689352522</v>
      </c>
      <c r="BI10" s="43">
        <v>4769.1800331586319</v>
      </c>
      <c r="BJ10" s="43">
        <v>4888.4095339875967</v>
      </c>
      <c r="BK10" s="43">
        <v>5010.619772337287</v>
      </c>
      <c r="BL10" s="43">
        <v>5135.8852666457187</v>
      </c>
      <c r="BM10" s="43">
        <v>50133.595041399974</v>
      </c>
      <c r="BP10" s="43">
        <v>0</v>
      </c>
      <c r="BQ10" s="43" t="str">
        <v>pochodne Fundusz Pracy i Fundusz Solidarnościowy</v>
      </c>
      <c r="BR10" s="43">
        <v>7350</v>
      </c>
      <c r="BS10" s="43">
        <v>7526.4000000000005</v>
      </c>
      <c r="BT10" s="43">
        <v>7707.0336000000016</v>
      </c>
      <c r="BU10" s="43">
        <v>7876.5883392000014</v>
      </c>
      <c r="BV10" s="43">
        <v>8073.5030476800011</v>
      </c>
      <c r="BW10" s="43">
        <v>8275.3406238719999</v>
      </c>
      <c r="BX10" s="43">
        <v>8482.224139468799</v>
      </c>
      <c r="BY10" s="43">
        <v>8694.2797429555194</v>
      </c>
      <c r="BZ10" s="43">
        <v>8911.6367365294063</v>
      </c>
      <c r="CA10" s="43">
        <v>9134.4276549426395</v>
      </c>
      <c r="CB10" s="43">
        <v>9362.7883463162052</v>
      </c>
      <c r="CC10" s="43">
        <v>91394.222230964559</v>
      </c>
    </row>
    <row r="11" spans="1:81" ht="15.75" customHeight="1" x14ac:dyDescent="0.25">
      <c r="A11" s="178">
        <v>2033</v>
      </c>
      <c r="B11" s="17">
        <v>6</v>
      </c>
      <c r="C11" s="17">
        <v>16</v>
      </c>
      <c r="D11" s="176">
        <f t="shared" si="9"/>
        <v>15826.049554201536</v>
      </c>
      <c r="E11" s="18">
        <v>1.0249999999999999</v>
      </c>
      <c r="F11" s="19">
        <v>12</v>
      </c>
      <c r="G11" s="20">
        <f t="shared" si="10"/>
        <v>3038601.514406695</v>
      </c>
      <c r="H11" s="20">
        <f t="shared" si="0"/>
        <v>74445.737102964034</v>
      </c>
      <c r="I11" s="20">
        <f t="shared" si="21"/>
        <v>514435.23638905346</v>
      </c>
      <c r="J11" s="20">
        <f t="shared" si="11"/>
        <v>45579.022716100422</v>
      </c>
      <c r="K11" s="20">
        <f t="shared" si="12"/>
        <v>251981.58899957963</v>
      </c>
      <c r="L11" s="20">
        <f t="shared" si="1"/>
        <v>6173.548930489701</v>
      </c>
      <c r="M11" s="20">
        <f t="shared" si="22"/>
        <v>42660.483017628831</v>
      </c>
      <c r="N11" s="20">
        <f t="shared" si="13"/>
        <v>3779.7238349936943</v>
      </c>
      <c r="O11" s="21">
        <f t="shared" si="14"/>
        <v>3977656.8553975052</v>
      </c>
      <c r="P11" s="177">
        <f t="shared" si="23"/>
        <v>54345.875491719729</v>
      </c>
      <c r="Q11" s="96"/>
      <c r="R11" s="118">
        <f>R9*$E11*$E10</f>
        <v>12205.170408030206</v>
      </c>
      <c r="S11" s="118">
        <f>S9*$E11*$E10</f>
        <v>11078.823365836795</v>
      </c>
      <c r="T11" s="22">
        <f t="shared" si="15"/>
        <v>77629.869265586734</v>
      </c>
      <c r="U11" s="217">
        <f t="shared" si="16"/>
        <v>4055286.7246630918</v>
      </c>
      <c r="V11" s="4"/>
      <c r="X11" s="20">
        <f t="shared" si="3"/>
        <v>3290583.1034062747</v>
      </c>
      <c r="Y11" s="20">
        <f t="shared" si="17"/>
        <v>451138.94347700028</v>
      </c>
      <c r="Z11" s="20">
        <f t="shared" si="4"/>
        <v>48000</v>
      </c>
      <c r="AA11" s="20">
        <f t="shared" si="18"/>
        <v>2791444.1599292746</v>
      </c>
      <c r="AB11" s="218">
        <f t="shared" si="5"/>
        <v>174465.25999557966</v>
      </c>
      <c r="AC11" s="218">
        <f t="shared" si="19"/>
        <v>28228.883198585492</v>
      </c>
      <c r="AD11" s="219">
        <f t="shared" si="6"/>
        <v>451662.13117736788</v>
      </c>
      <c r="AE11" s="219">
        <f t="shared" si="7"/>
        <v>1008234.6628836826</v>
      </c>
      <c r="AF11" s="219">
        <f t="shared" si="20"/>
        <v>255549.97439363471</v>
      </c>
      <c r="AG11" s="219">
        <f t="shared" si="8"/>
        <v>80619.28603345374</v>
      </c>
      <c r="AJ11" s="43">
        <v>0</v>
      </c>
      <c r="AK11" s="43" t="str">
        <v>pochodne ZUS</v>
      </c>
      <c r="AL11" s="43">
        <v>445767.39841919998</v>
      </c>
      <c r="AM11" s="43">
        <v>456465.81598126079</v>
      </c>
      <c r="AN11" s="43">
        <v>467420.99556481105</v>
      </c>
      <c r="AO11" s="43">
        <v>477704.25746723689</v>
      </c>
      <c r="AP11" s="43">
        <v>489646.86390391778</v>
      </c>
      <c r="AQ11" s="43">
        <v>501888.03550151561</v>
      </c>
      <c r="AR11" s="43">
        <v>514435.23638905346</v>
      </c>
      <c r="AS11" s="43">
        <v>527296.11729877966</v>
      </c>
      <c r="AT11" s="43">
        <v>540478.52023124904</v>
      </c>
      <c r="AU11" s="43">
        <v>553990.48323703033</v>
      </c>
      <c r="AV11" s="43">
        <v>567840.24531795608</v>
      </c>
      <c r="AW11" s="43">
        <v>5628058.7674231231</v>
      </c>
      <c r="AZ11" s="43">
        <v>0</v>
      </c>
      <c r="BA11" s="43" t="str">
        <v>pochodne ZUS</v>
      </c>
      <c r="BB11" s="43">
        <v>27860.462401199999</v>
      </c>
      <c r="BC11" s="43">
        <v>28529.113498828799</v>
      </c>
      <c r="BD11" s="43">
        <v>29213.812222800691</v>
      </c>
      <c r="BE11" s="43">
        <v>29856.516091702306</v>
      </c>
      <c r="BF11" s="43">
        <v>30602.928993994861</v>
      </c>
      <c r="BG11" s="43">
        <v>31368.002218844726</v>
      </c>
      <c r="BH11" s="43">
        <v>32152.202274315841</v>
      </c>
      <c r="BI11" s="43">
        <v>32956.007331173729</v>
      </c>
      <c r="BJ11" s="43">
        <v>33779.907514453065</v>
      </c>
      <c r="BK11" s="43">
        <v>34624.405202314396</v>
      </c>
      <c r="BL11" s="43">
        <v>35490.015332372255</v>
      </c>
      <c r="BM11" s="43">
        <v>351753.6729639452</v>
      </c>
      <c r="BP11" s="43">
        <v>0</v>
      </c>
      <c r="BQ11" s="43" t="str">
        <v>pochodne ZUS</v>
      </c>
      <c r="BR11" s="43">
        <v>50790</v>
      </c>
      <c r="BS11" s="43">
        <v>52008.959999999999</v>
      </c>
      <c r="BT11" s="43">
        <v>53257.175040000009</v>
      </c>
      <c r="BU11" s="43">
        <v>54428.83289088001</v>
      </c>
      <c r="BV11" s="43">
        <v>55789.553713152003</v>
      </c>
      <c r="BW11" s="43">
        <v>57184.292555980799</v>
      </c>
      <c r="BX11" s="43">
        <v>58613.899869880319</v>
      </c>
      <c r="BY11" s="43">
        <v>60079.247366627314</v>
      </c>
      <c r="BZ11" s="43">
        <v>61581.228550792992</v>
      </c>
      <c r="CA11" s="43">
        <v>63120.75926456281</v>
      </c>
      <c r="CB11" s="43">
        <v>64698.778246176873</v>
      </c>
      <c r="CC11" s="43">
        <v>641251.70618378813</v>
      </c>
    </row>
    <row r="12" spans="1:81" ht="15.75" customHeight="1" x14ac:dyDescent="0.25">
      <c r="A12" s="178">
        <v>2034</v>
      </c>
      <c r="B12" s="17">
        <v>7</v>
      </c>
      <c r="C12" s="17">
        <v>16</v>
      </c>
      <c r="D12" s="176">
        <f t="shared" si="9"/>
        <v>16221.700793056572</v>
      </c>
      <c r="E12" s="18">
        <v>1.0249999999999999</v>
      </c>
      <c r="F12" s="19">
        <v>12</v>
      </c>
      <c r="G12" s="20">
        <f t="shared" si="10"/>
        <v>3114566.5522668618</v>
      </c>
      <c r="H12" s="20">
        <f t="shared" si="0"/>
        <v>76306.88053053811</v>
      </c>
      <c r="I12" s="20">
        <f t="shared" si="21"/>
        <v>527296.11729877966</v>
      </c>
      <c r="J12" s="20">
        <f t="shared" si="11"/>
        <v>46718.498284002926</v>
      </c>
      <c r="K12" s="20">
        <f t="shared" si="12"/>
        <v>258281.12872456911</v>
      </c>
      <c r="L12" s="20">
        <f t="shared" si="1"/>
        <v>6327.8876537519436</v>
      </c>
      <c r="M12" s="20">
        <f t="shared" si="22"/>
        <v>43726.995093069549</v>
      </c>
      <c r="N12" s="20">
        <f t="shared" si="13"/>
        <v>3874.2169308685366</v>
      </c>
      <c r="O12" s="21">
        <f t="shared" si="14"/>
        <v>4077098.276782441</v>
      </c>
      <c r="P12" s="177">
        <f t="shared" si="23"/>
        <v>55704.52237901272</v>
      </c>
      <c r="Q12" s="96"/>
      <c r="R12" s="118"/>
      <c r="S12" s="118"/>
      <c r="T12" s="22">
        <f t="shared" si="15"/>
        <v>55704.52237901272</v>
      </c>
      <c r="U12" s="217">
        <f t="shared" si="16"/>
        <v>4132802.7991614537</v>
      </c>
      <c r="V12" s="4"/>
      <c r="X12" s="20">
        <f t="shared" si="3"/>
        <v>3372847.6809914308</v>
      </c>
      <c r="Y12" s="20">
        <f t="shared" si="17"/>
        <v>462417.41706392518</v>
      </c>
      <c r="Z12" s="20">
        <f t="shared" si="4"/>
        <v>48000</v>
      </c>
      <c r="AA12" s="20">
        <f t="shared" si="18"/>
        <v>2862430.2639275054</v>
      </c>
      <c r="AB12" s="218">
        <f t="shared" si="5"/>
        <v>178901.89149546908</v>
      </c>
      <c r="AC12" s="218">
        <f t="shared" si="19"/>
        <v>29648.605278550109</v>
      </c>
      <c r="AD12" s="219">
        <f t="shared" si="6"/>
        <v>474377.68445680174</v>
      </c>
      <c r="AE12" s="219">
        <f t="shared" si="7"/>
        <v>1033440.5294557743</v>
      </c>
      <c r="AF12" s="219">
        <f t="shared" si="20"/>
        <v>261938.72375347547</v>
      </c>
      <c r="AG12" s="219">
        <f t="shared" si="8"/>
        <v>82634.768184290049</v>
      </c>
      <c r="AJ12" s="43">
        <v>0</v>
      </c>
      <c r="AK12" s="43" t="str">
        <v>PPK</v>
      </c>
      <c r="AL12" s="43">
        <v>39495.04415999999</v>
      </c>
      <c r="AM12" s="43">
        <v>40442.925219839999</v>
      </c>
      <c r="AN12" s="43">
        <v>41413.555425116152</v>
      </c>
      <c r="AO12" s="43">
        <v>42324.653644468708</v>
      </c>
      <c r="AP12" s="43">
        <v>43382.769985580424</v>
      </c>
      <c r="AQ12" s="43">
        <v>44467.33923521993</v>
      </c>
      <c r="AR12" s="43">
        <v>45579.022716100422</v>
      </c>
      <c r="AS12" s="43">
        <v>46718.498284002926</v>
      </c>
      <c r="AT12" s="43">
        <v>47886.460741102987</v>
      </c>
      <c r="AU12" s="43">
        <v>49083.62225963056</v>
      </c>
      <c r="AV12" s="43">
        <v>50310.712816121326</v>
      </c>
      <c r="AW12" s="43">
        <v>491104.60448718339</v>
      </c>
      <c r="AZ12" s="43">
        <v>0</v>
      </c>
      <c r="BA12" s="43" t="str">
        <v>PPK</v>
      </c>
      <c r="BB12" s="43">
        <v>2468.4402599999994</v>
      </c>
      <c r="BC12" s="43">
        <v>2527.6828262399999</v>
      </c>
      <c r="BD12" s="43">
        <v>2588.3472140697595</v>
      </c>
      <c r="BE12" s="43">
        <v>2645.2908527792943</v>
      </c>
      <c r="BF12" s="43">
        <v>2711.4231240987765</v>
      </c>
      <c r="BG12" s="43">
        <v>2779.2087022012456</v>
      </c>
      <c r="BH12" s="43">
        <v>2848.6889197562764</v>
      </c>
      <c r="BI12" s="43">
        <v>2919.9061427501829</v>
      </c>
      <c r="BJ12" s="43">
        <v>2992.9037963189367</v>
      </c>
      <c r="BK12" s="43">
        <v>3067.72639122691</v>
      </c>
      <c r="BL12" s="43">
        <v>3144.4195510075829</v>
      </c>
      <c r="BM12" s="43">
        <v>30694.037780448962</v>
      </c>
      <c r="BP12" s="43">
        <v>0</v>
      </c>
      <c r="BQ12" s="43" t="str">
        <v>PPK</v>
      </c>
      <c r="BR12" s="43">
        <v>4500</v>
      </c>
      <c r="BS12" s="43">
        <v>4608</v>
      </c>
      <c r="BT12" s="43">
        <v>4718.5920000000006</v>
      </c>
      <c r="BU12" s="43">
        <v>4822.4010240000007</v>
      </c>
      <c r="BV12" s="43">
        <v>4942.9610496000005</v>
      </c>
      <c r="BW12" s="43">
        <v>5066.5350758399991</v>
      </c>
      <c r="BX12" s="43">
        <v>5193.1984527359991</v>
      </c>
      <c r="BY12" s="43">
        <v>5323.028414054399</v>
      </c>
      <c r="BZ12" s="43">
        <v>5456.1041244057578</v>
      </c>
      <c r="CA12" s="43">
        <v>5592.5067275159017</v>
      </c>
      <c r="CB12" s="43">
        <v>5732.3193957037984</v>
      </c>
      <c r="CC12" s="43">
        <v>55955.646263855844</v>
      </c>
    </row>
    <row r="13" spans="1:81" ht="15.75" customHeight="1" x14ac:dyDescent="0.25">
      <c r="A13" s="178">
        <v>2035</v>
      </c>
      <c r="B13" s="17">
        <v>8</v>
      </c>
      <c r="C13" s="17">
        <v>16</v>
      </c>
      <c r="D13" s="176">
        <f t="shared" si="9"/>
        <v>16627.243312882983</v>
      </c>
      <c r="E13" s="18">
        <v>1.0249999999999999</v>
      </c>
      <c r="F13" s="19">
        <v>12</v>
      </c>
      <c r="G13" s="20">
        <f t="shared" si="10"/>
        <v>3192430.7160735326</v>
      </c>
      <c r="H13" s="20">
        <f t="shared" si="0"/>
        <v>78214.552543801547</v>
      </c>
      <c r="I13" s="20">
        <f t="shared" si="21"/>
        <v>540478.52023124904</v>
      </c>
      <c r="J13" s="20">
        <f t="shared" si="11"/>
        <v>47886.460741102987</v>
      </c>
      <c r="K13" s="20">
        <f t="shared" si="12"/>
        <v>264738.15694268327</v>
      </c>
      <c r="L13" s="20">
        <f t="shared" si="1"/>
        <v>6486.0848450957401</v>
      </c>
      <c r="M13" s="20">
        <f t="shared" si="22"/>
        <v>44820.16997039628</v>
      </c>
      <c r="N13" s="20">
        <f t="shared" si="13"/>
        <v>3971.072354140249</v>
      </c>
      <c r="O13" s="21">
        <f t="shared" si="14"/>
        <v>4179025.7337020026</v>
      </c>
      <c r="P13" s="177">
        <f t="shared" si="23"/>
        <v>57097.135438488032</v>
      </c>
      <c r="Q13" s="96"/>
      <c r="R13" s="118">
        <f>R11*$E13*$E12</f>
        <v>12823.057159936734</v>
      </c>
      <c r="S13" s="118">
        <f>S11*$E13*$E12</f>
        <v>11639.688798732281</v>
      </c>
      <c r="T13" s="22">
        <f t="shared" si="15"/>
        <v>81559.881397157049</v>
      </c>
      <c r="U13" s="217">
        <f t="shared" si="16"/>
        <v>4260585.61509916</v>
      </c>
      <c r="V13" s="4"/>
      <c r="X13" s="20">
        <f t="shared" si="3"/>
        <v>3457168.8730162159</v>
      </c>
      <c r="Y13" s="20">
        <f t="shared" si="17"/>
        <v>473977.85249052319</v>
      </c>
      <c r="Z13" s="20">
        <f t="shared" si="4"/>
        <v>48000</v>
      </c>
      <c r="AA13" s="20">
        <f t="shared" si="18"/>
        <v>2935191.0205256925</v>
      </c>
      <c r="AB13" s="218">
        <f t="shared" si="5"/>
        <v>183449.43878285578</v>
      </c>
      <c r="AC13" s="218">
        <f t="shared" si="19"/>
        <v>31103.82041051385</v>
      </c>
      <c r="AD13" s="219">
        <f t="shared" si="6"/>
        <v>497661.1265682216</v>
      </c>
      <c r="AE13" s="219">
        <f t="shared" si="7"/>
        <v>1059276.5426921686</v>
      </c>
      <c r="AF13" s="219">
        <f t="shared" si="20"/>
        <v>268487.19184731232</v>
      </c>
      <c r="AG13" s="219">
        <f t="shared" si="8"/>
        <v>84700.637388897288</v>
      </c>
      <c r="AJ13" s="43">
        <v>0</v>
      </c>
      <c r="AK13" s="43" t="str">
        <v>DWR</v>
      </c>
      <c r="AL13" s="43">
        <v>0</v>
      </c>
      <c r="AM13" s="43">
        <v>223805.25023999999</v>
      </c>
      <c r="AN13" s="43">
        <v>229176.57624575999</v>
      </c>
      <c r="AO13" s="43">
        <v>234676.81407565824</v>
      </c>
      <c r="AP13" s="43">
        <v>239839.70398532273</v>
      </c>
      <c r="AQ13" s="43">
        <v>245835.69658495579</v>
      </c>
      <c r="AR13" s="43">
        <v>251981.58899957963</v>
      </c>
      <c r="AS13" s="43">
        <v>258281.12872456911</v>
      </c>
      <c r="AT13" s="43">
        <v>264738.15694268327</v>
      </c>
      <c r="AU13" s="43">
        <v>271356.6108662503</v>
      </c>
      <c r="AV13" s="43">
        <v>278140.52613790653</v>
      </c>
      <c r="AW13" s="43">
        <v>2497832.0528026856</v>
      </c>
      <c r="AZ13" s="43">
        <v>0</v>
      </c>
      <c r="BA13" s="43" t="str">
        <v>DWR</v>
      </c>
      <c r="BB13" s="43">
        <v>0</v>
      </c>
      <c r="BC13" s="43">
        <v>13987.82814</v>
      </c>
      <c r="BD13" s="43">
        <v>14323.53601536</v>
      </c>
      <c r="BE13" s="43">
        <v>14667.30087972864</v>
      </c>
      <c r="BF13" s="43">
        <v>14989.981499082671</v>
      </c>
      <c r="BG13" s="43">
        <v>15364.731036559737</v>
      </c>
      <c r="BH13" s="43">
        <v>15748.849312473727</v>
      </c>
      <c r="BI13" s="43">
        <v>16142.570545285569</v>
      </c>
      <c r="BJ13" s="43">
        <v>16546.134808917705</v>
      </c>
      <c r="BK13" s="43">
        <v>16959.788179140643</v>
      </c>
      <c r="BL13" s="43">
        <v>17383.782883619158</v>
      </c>
      <c r="BM13" s="43">
        <v>156114.50330016785</v>
      </c>
      <c r="BP13" s="43">
        <v>0</v>
      </c>
      <c r="BQ13" s="43" t="str">
        <v>DWR</v>
      </c>
      <c r="BR13" s="43">
        <v>0</v>
      </c>
      <c r="BS13" s="43">
        <v>25500.000000000004</v>
      </c>
      <c r="BT13" s="43">
        <v>26112.000000000004</v>
      </c>
      <c r="BU13" s="43">
        <v>26738.688000000006</v>
      </c>
      <c r="BV13" s="43">
        <v>27326.939136000005</v>
      </c>
      <c r="BW13" s="43">
        <v>28010.112614400005</v>
      </c>
      <c r="BX13" s="43">
        <v>28710.365429760001</v>
      </c>
      <c r="BY13" s="43">
        <v>29428.124565504</v>
      </c>
      <c r="BZ13" s="43">
        <v>30163.827679641596</v>
      </c>
      <c r="CA13" s="43">
        <v>30917.923371632634</v>
      </c>
      <c r="CB13" s="43">
        <v>31690.871455923447</v>
      </c>
      <c r="CC13" s="43">
        <v>284598.85225286172</v>
      </c>
    </row>
    <row r="14" spans="1:81" ht="15.75" customHeight="1" x14ac:dyDescent="0.25">
      <c r="A14" s="178">
        <v>2036</v>
      </c>
      <c r="B14" s="17">
        <v>9</v>
      </c>
      <c r="C14" s="17">
        <v>16</v>
      </c>
      <c r="D14" s="176">
        <f t="shared" si="9"/>
        <v>17042.924395705057</v>
      </c>
      <c r="E14" s="18">
        <v>1.0249999999999999</v>
      </c>
      <c r="F14" s="19">
        <v>12</v>
      </c>
      <c r="G14" s="20">
        <f t="shared" si="10"/>
        <v>3272241.4839753709</v>
      </c>
      <c r="H14" s="20">
        <f t="shared" si="0"/>
        <v>80169.916357396593</v>
      </c>
      <c r="I14" s="20">
        <f t="shared" si="21"/>
        <v>553990.48323703033</v>
      </c>
      <c r="J14" s="20">
        <f t="shared" si="11"/>
        <v>49083.62225963056</v>
      </c>
      <c r="K14" s="20">
        <f t="shared" si="12"/>
        <v>271356.6108662503</v>
      </c>
      <c r="L14" s="20">
        <f t="shared" si="1"/>
        <v>6648.2369662231322</v>
      </c>
      <c r="M14" s="20">
        <f t="shared" si="22"/>
        <v>45940.674219656175</v>
      </c>
      <c r="N14" s="20">
        <f t="shared" si="13"/>
        <v>4070.3491629937544</v>
      </c>
      <c r="O14" s="21">
        <f t="shared" si="14"/>
        <v>4283501.377044552</v>
      </c>
      <c r="P14" s="177">
        <f t="shared" si="23"/>
        <v>58524.563824450226</v>
      </c>
      <c r="Q14" s="96"/>
      <c r="R14" s="118"/>
      <c r="S14" s="118"/>
      <c r="T14" s="22">
        <f t="shared" si="15"/>
        <v>58524.563824450226</v>
      </c>
      <c r="U14" s="217">
        <f t="shared" si="16"/>
        <v>4342025.9408690026</v>
      </c>
      <c r="V14" s="4"/>
      <c r="X14" s="20">
        <f t="shared" si="3"/>
        <v>3543598.0948416214</v>
      </c>
      <c r="Y14" s="20">
        <f t="shared" si="17"/>
        <v>485827.29880278627</v>
      </c>
      <c r="Z14" s="20">
        <f t="shared" si="4"/>
        <v>48000</v>
      </c>
      <c r="AA14" s="20">
        <f t="shared" si="18"/>
        <v>3009770.7960388353</v>
      </c>
      <c r="AB14" s="218">
        <f t="shared" si="5"/>
        <v>188110.67475242721</v>
      </c>
      <c r="AC14" s="218">
        <f t="shared" si="19"/>
        <v>32595.415920776708</v>
      </c>
      <c r="AD14" s="219">
        <f t="shared" si="6"/>
        <v>521526.65473242733</v>
      </c>
      <c r="AE14" s="219">
        <f t="shared" si="7"/>
        <v>1085758.4562594728</v>
      </c>
      <c r="AF14" s="219">
        <f t="shared" si="20"/>
        <v>275199.37164349516</v>
      </c>
      <c r="AG14" s="219">
        <f t="shared" si="8"/>
        <v>86818.153323619728</v>
      </c>
      <c r="AJ14" s="43">
        <v>0</v>
      </c>
      <c r="AK14" s="43" t="str">
        <v>pochodne Fundusz Pracy i Fundusz Solidarnościowy</v>
      </c>
      <c r="AL14" s="43">
        <v>0</v>
      </c>
      <c r="AM14" s="43">
        <v>5483.2286308800003</v>
      </c>
      <c r="AN14" s="43">
        <v>5614.8261180211202</v>
      </c>
      <c r="AO14" s="43">
        <v>5749.5819448536267</v>
      </c>
      <c r="AP14" s="43">
        <v>5876.0727476404072</v>
      </c>
      <c r="AQ14" s="43">
        <v>6022.974566331417</v>
      </c>
      <c r="AR14" s="43">
        <v>6173.548930489701</v>
      </c>
      <c r="AS14" s="43">
        <v>6327.8876537519436</v>
      </c>
      <c r="AT14" s="43">
        <v>6486.0848450957401</v>
      </c>
      <c r="AU14" s="43">
        <v>6648.2369662231322</v>
      </c>
      <c r="AV14" s="43">
        <v>6814.4428903787102</v>
      </c>
      <c r="AW14" s="43">
        <v>61196.8852936658</v>
      </c>
      <c r="AZ14" s="43">
        <v>0</v>
      </c>
      <c r="BA14" s="43" t="str">
        <v>pochodne Fundusz Pracy</v>
      </c>
      <c r="BB14" s="43">
        <v>0</v>
      </c>
      <c r="BC14" s="43">
        <v>342.70178943000002</v>
      </c>
      <c r="BD14" s="43">
        <v>350.92663237632001</v>
      </c>
      <c r="BE14" s="43">
        <v>359.34887155335167</v>
      </c>
      <c r="BF14" s="43">
        <v>367.25454672752545</v>
      </c>
      <c r="BG14" s="43">
        <v>376.43591039571356</v>
      </c>
      <c r="BH14" s="43">
        <v>385.84680815560631</v>
      </c>
      <c r="BI14" s="43">
        <v>395.49297835949648</v>
      </c>
      <c r="BJ14" s="43">
        <v>405.38030281848376</v>
      </c>
      <c r="BK14" s="43">
        <v>415.51481038894576</v>
      </c>
      <c r="BL14" s="43">
        <v>425.90268064866939</v>
      </c>
      <c r="BM14" s="43">
        <v>3824.8053308541125</v>
      </c>
      <c r="BP14" s="43">
        <v>0</v>
      </c>
      <c r="BQ14" s="43" t="str">
        <v>pochodne Fundusz Pracy i Fundusz Solidarnościowy</v>
      </c>
      <c r="BR14" s="43">
        <v>0</v>
      </c>
      <c r="BS14" s="43">
        <v>624.75000000000011</v>
      </c>
      <c r="BT14" s="43">
        <v>639.74400000000014</v>
      </c>
      <c r="BU14" s="43">
        <v>655.09785600000021</v>
      </c>
      <c r="BV14" s="43">
        <v>669.51000883200015</v>
      </c>
      <c r="BW14" s="43">
        <v>686.24775905280012</v>
      </c>
      <c r="BX14" s="43">
        <v>703.40395302912009</v>
      </c>
      <c r="BY14" s="43">
        <v>720.98905185484807</v>
      </c>
      <c r="BZ14" s="43">
        <v>739.01377815121907</v>
      </c>
      <c r="CA14" s="43">
        <v>757.48912260499958</v>
      </c>
      <c r="CB14" s="43">
        <v>776.42635067012452</v>
      </c>
      <c r="CC14" s="43">
        <v>6972.671880195112</v>
      </c>
    </row>
    <row r="15" spans="1:81" ht="15.75" customHeight="1" x14ac:dyDescent="0.25">
      <c r="A15" s="178">
        <v>2037</v>
      </c>
      <c r="B15" s="17">
        <v>10</v>
      </c>
      <c r="C15" s="17">
        <v>16</v>
      </c>
      <c r="D15" s="176">
        <f>D14*E15</f>
        <v>17468.997505597683</v>
      </c>
      <c r="E15" s="18">
        <v>1.0249999999999999</v>
      </c>
      <c r="F15" s="19">
        <v>12</v>
      </c>
      <c r="G15" s="20">
        <f t="shared" si="10"/>
        <v>3354047.5210747551</v>
      </c>
      <c r="H15" s="20">
        <f t="shared" si="0"/>
        <v>82174.1642663315</v>
      </c>
      <c r="I15" s="20">
        <f t="shared" si="21"/>
        <v>567840.24531795608</v>
      </c>
      <c r="J15" s="20">
        <f t="shared" si="11"/>
        <v>50310.712816121326</v>
      </c>
      <c r="K15" s="20">
        <f t="shared" si="12"/>
        <v>278140.52613790653</v>
      </c>
      <c r="L15" s="20">
        <f t="shared" si="1"/>
        <v>6814.4428903787102</v>
      </c>
      <c r="M15" s="20">
        <f t="shared" si="22"/>
        <v>47089.191075147581</v>
      </c>
      <c r="N15" s="20">
        <f t="shared" si="13"/>
        <v>4172.1078920685977</v>
      </c>
      <c r="O15" s="21">
        <f t="shared" si="14"/>
        <v>4390588.9114706656</v>
      </c>
      <c r="P15" s="177">
        <f t="shared" si="23"/>
        <v>59987.677920061476</v>
      </c>
      <c r="Q15" s="96"/>
      <c r="R15" s="118">
        <f>R13*$E15*$E14</f>
        <v>13472.224428658528</v>
      </c>
      <c r="S15" s="118">
        <f>S13*$E15*$E14</f>
        <v>12228.948044168101</v>
      </c>
      <c r="T15" s="22">
        <f>SUM(P15:S15)</f>
        <v>85688.850392888096</v>
      </c>
      <c r="U15" s="217">
        <f t="shared" si="16"/>
        <v>4476277.7618635539</v>
      </c>
      <c r="V15" s="4"/>
      <c r="X15" s="20">
        <f t="shared" si="3"/>
        <v>3632188.0472126617</v>
      </c>
      <c r="Y15" s="20">
        <f t="shared" si="17"/>
        <v>497972.98127285589</v>
      </c>
      <c r="Z15" s="20">
        <f t="shared" si="4"/>
        <v>48000</v>
      </c>
      <c r="AA15" s="20">
        <f t="shared" si="18"/>
        <v>3086215.0659398059</v>
      </c>
      <c r="AB15" s="218">
        <f t="shared" si="5"/>
        <v>192888.44162123787</v>
      </c>
      <c r="AC15" s="218">
        <f t="shared" si="19"/>
        <v>34124.301318796119</v>
      </c>
      <c r="AD15" s="219">
        <f t="shared" si="6"/>
        <v>545988.8211007379</v>
      </c>
      <c r="AE15" s="219">
        <f t="shared" si="7"/>
        <v>1112902.4176659596</v>
      </c>
      <c r="AF15" s="219">
        <f t="shared" si="20"/>
        <v>282079.35593458253</v>
      </c>
      <c r="AG15" s="219">
        <f t="shared" si="8"/>
        <v>88988.607156710204</v>
      </c>
      <c r="AJ15" s="43">
        <v>0</v>
      </c>
      <c r="AK15" s="43" t="str">
        <v>pochodne ZUS</v>
      </c>
      <c r="AL15" s="43">
        <v>0</v>
      </c>
      <c r="AM15" s="43">
        <v>37890.228865632002</v>
      </c>
      <c r="AN15" s="43">
        <v>38799.594358407165</v>
      </c>
      <c r="AO15" s="43">
        <v>39730.784623008942</v>
      </c>
      <c r="AP15" s="43">
        <v>40604.861884715137</v>
      </c>
      <c r="AQ15" s="43">
        <v>41619.983431833018</v>
      </c>
      <c r="AR15" s="43">
        <v>42660.483017628831</v>
      </c>
      <c r="AS15" s="43">
        <v>43726.995093069549</v>
      </c>
      <c r="AT15" s="43">
        <v>44820.16997039628</v>
      </c>
      <c r="AU15" s="43">
        <v>45940.674219656175</v>
      </c>
      <c r="AV15" s="43">
        <v>47089.191075147581</v>
      </c>
      <c r="AW15" s="43">
        <v>429377.32987678173</v>
      </c>
      <c r="AZ15" s="43">
        <v>0</v>
      </c>
      <c r="BA15" s="43" t="str">
        <v>pochodne ZUS</v>
      </c>
      <c r="BB15" s="43">
        <v>0</v>
      </c>
      <c r="BC15" s="43">
        <v>2368.1393041020001</v>
      </c>
      <c r="BD15" s="43">
        <v>2424.9746474004478</v>
      </c>
      <c r="BE15" s="43">
        <v>2483.1740389380589</v>
      </c>
      <c r="BF15" s="43">
        <v>2537.8038677946961</v>
      </c>
      <c r="BG15" s="43">
        <v>2601.2489644895636</v>
      </c>
      <c r="BH15" s="43">
        <v>2666.2801886018019</v>
      </c>
      <c r="BI15" s="43">
        <v>2732.9371933168468</v>
      </c>
      <c r="BJ15" s="43">
        <v>2801.2606231497675</v>
      </c>
      <c r="BK15" s="43">
        <v>2871.292138728511</v>
      </c>
      <c r="BL15" s="43">
        <v>2943.0744421967238</v>
      </c>
      <c r="BM15" s="43">
        <v>26836.083117298858</v>
      </c>
      <c r="BP15" s="43">
        <v>0</v>
      </c>
      <c r="BQ15" s="43" t="str">
        <v>pochodne ZUS</v>
      </c>
      <c r="BR15" s="43">
        <v>0</v>
      </c>
      <c r="BS15" s="43">
        <v>4317.1500000000005</v>
      </c>
      <c r="BT15" s="43">
        <v>4420.7616000000007</v>
      </c>
      <c r="BU15" s="43">
        <v>4526.8598784000014</v>
      </c>
      <c r="BV15" s="43">
        <v>4626.4507957248006</v>
      </c>
      <c r="BW15" s="43">
        <v>4742.112065617921</v>
      </c>
      <c r="BX15" s="43">
        <v>4860.6648672583678</v>
      </c>
      <c r="BY15" s="43">
        <v>4982.1814889398274</v>
      </c>
      <c r="BZ15" s="43">
        <v>5106.7360261633221</v>
      </c>
      <c r="CA15" s="43">
        <v>5234.4044268174048</v>
      </c>
      <c r="CB15" s="43">
        <v>5365.2645374878393</v>
      </c>
      <c r="CC15" s="43">
        <v>48922.542702266939</v>
      </c>
    </row>
    <row r="16" spans="1:81" ht="15.75" customHeight="1" x14ac:dyDescent="0.25">
      <c r="A16" s="44" t="s">
        <v>28</v>
      </c>
      <c r="B16" s="44"/>
      <c r="C16" s="44"/>
      <c r="D16" s="23"/>
      <c r="E16" s="24"/>
      <c r="F16" s="24"/>
      <c r="G16" s="25">
        <f>SUM(G5:G15)</f>
        <v>32740306.965812229</v>
      </c>
      <c r="H16" s="25">
        <f t="shared" si="0"/>
        <v>802137.52066239959</v>
      </c>
      <c r="I16" s="25">
        <f t="shared" ref="I16" si="24">G16*17.19%</f>
        <v>5628058.7674231231</v>
      </c>
      <c r="J16" s="25">
        <f>G16*1.5%</f>
        <v>491104.60448718339</v>
      </c>
      <c r="K16" s="25">
        <f>SUM(K5:K15)</f>
        <v>2497832.0528026856</v>
      </c>
      <c r="L16" s="25">
        <f t="shared" si="1"/>
        <v>61196.8852936658</v>
      </c>
      <c r="M16" s="25">
        <f t="shared" si="2"/>
        <v>429377.32987678173</v>
      </c>
      <c r="N16" s="25">
        <f>K16*1.5%</f>
        <v>37467.480792040282</v>
      </c>
      <c r="O16" s="21">
        <f>SUM(G16:N16)</f>
        <v>42687481.6071501</v>
      </c>
      <c r="P16" s="26">
        <f>SUM(P5:P15)</f>
        <v>585565.64178904356</v>
      </c>
      <c r="Q16" s="22">
        <f>SUM(Q5:Q15)</f>
        <v>8800</v>
      </c>
      <c r="R16" s="22">
        <f>SUM(R5:R15)</f>
        <v>61207.248674974267</v>
      </c>
      <c r="S16" s="22">
        <f>SUM(S5:S15)</f>
        <v>65158.773381217172</v>
      </c>
      <c r="T16" s="22">
        <f>P16+Q16+R16+S16</f>
        <v>720731.66384523502</v>
      </c>
      <c r="U16" s="217">
        <f t="shared" si="16"/>
        <v>43408213.270995334</v>
      </c>
      <c r="V16" s="4"/>
      <c r="X16" s="25">
        <f>SUM(X5:X15)</f>
        <v>35238139.018614918</v>
      </c>
      <c r="Y16" s="25">
        <f>SUM(Y5:Y15)</f>
        <v>4831148.8594521042</v>
      </c>
      <c r="AD16" s="221">
        <f>SUM(AD5:AD15)</f>
        <v>4703676.8509320999</v>
      </c>
      <c r="AE16" s="221">
        <f t="shared" ref="AE16:AG16" si="25">SUM(AE5:AE15)</f>
        <v>10796965.795303611</v>
      </c>
      <c r="AF16" s="221">
        <f t="shared" si="25"/>
        <v>2736629.1143246535</v>
      </c>
      <c r="AG16" s="221">
        <f t="shared" si="25"/>
        <v>863334.40595606552</v>
      </c>
      <c r="AJ16" s="43">
        <v>0</v>
      </c>
      <c r="AK16" s="43" t="str">
        <v>PPK</v>
      </c>
      <c r="AL16" s="43">
        <v>0</v>
      </c>
      <c r="AM16" s="43">
        <v>3357.0787535999998</v>
      </c>
      <c r="AN16" s="43">
        <v>3437.6486436863997</v>
      </c>
      <c r="AO16" s="43">
        <v>3520.1522111348736</v>
      </c>
      <c r="AP16" s="43">
        <v>3597.5955597798406</v>
      </c>
      <c r="AQ16" s="43">
        <v>3687.5354487743366</v>
      </c>
      <c r="AR16" s="43">
        <v>3779.7238349936943</v>
      </c>
      <c r="AS16" s="43">
        <v>3874.2169308685366</v>
      </c>
      <c r="AT16" s="43">
        <v>3971.072354140249</v>
      </c>
      <c r="AU16" s="43">
        <v>4070.3491629937544</v>
      </c>
      <c r="AV16" s="43">
        <v>4172.1078920685977</v>
      </c>
      <c r="AW16" s="43">
        <v>37467.480792040282</v>
      </c>
      <c r="AZ16" s="43">
        <v>0</v>
      </c>
      <c r="BA16" s="43" t="str">
        <v>PPK</v>
      </c>
      <c r="BB16" s="43">
        <v>0</v>
      </c>
      <c r="BC16" s="43">
        <v>209.81742209999999</v>
      </c>
      <c r="BD16" s="43">
        <v>214.85304023039998</v>
      </c>
      <c r="BE16" s="43">
        <v>220.0095131959296</v>
      </c>
      <c r="BF16" s="43">
        <v>224.84972248624004</v>
      </c>
      <c r="BG16" s="43">
        <v>230.47096554839604</v>
      </c>
      <c r="BH16" s="43">
        <v>236.23273968710589</v>
      </c>
      <c r="BI16" s="43">
        <v>242.13855817928354</v>
      </c>
      <c r="BJ16" s="43">
        <v>248.19202213376556</v>
      </c>
      <c r="BK16" s="43">
        <v>254.39682268710965</v>
      </c>
      <c r="BL16" s="43">
        <v>260.75674325428736</v>
      </c>
      <c r="BM16" s="43">
        <v>2341.7175495025176</v>
      </c>
      <c r="BP16" s="43">
        <v>0</v>
      </c>
      <c r="BQ16" s="43" t="str">
        <v>PPK</v>
      </c>
      <c r="BR16" s="43">
        <v>0</v>
      </c>
      <c r="BS16" s="43">
        <v>382.50000000000006</v>
      </c>
      <c r="BT16" s="43">
        <v>391.68000000000006</v>
      </c>
      <c r="BU16" s="43">
        <v>401.08032000000009</v>
      </c>
      <c r="BV16" s="43">
        <v>409.90408704000004</v>
      </c>
      <c r="BW16" s="43">
        <v>420.15168921600008</v>
      </c>
      <c r="BX16" s="43">
        <v>430.65548144640002</v>
      </c>
      <c r="BY16" s="43">
        <v>441.42186848256</v>
      </c>
      <c r="BZ16" s="43">
        <v>452.45741519462393</v>
      </c>
      <c r="CA16" s="43">
        <v>463.76885057448948</v>
      </c>
      <c r="CB16" s="43">
        <v>475.36307183885168</v>
      </c>
      <c r="CC16" s="43">
        <v>4268.9827837929261</v>
      </c>
    </row>
    <row r="17" spans="1:81" x14ac:dyDescent="0.25">
      <c r="K17" s="4"/>
      <c r="AJ17" s="43">
        <v>0</v>
      </c>
      <c r="AK17" s="43" t="str">
        <v>razem wynagrodzenia</v>
      </c>
      <c r="AL17" s="43">
        <v>3182773.9587071999</v>
      </c>
      <c r="AM17" s="43">
        <v>3529696.3202062845</v>
      </c>
      <c r="AN17" s="43">
        <v>3614409.0318912356</v>
      </c>
      <c r="AO17" s="43">
        <v>3694480.087883574</v>
      </c>
      <c r="AP17" s="43">
        <v>3785991.0580820995</v>
      </c>
      <c r="AQ17" s="43">
        <v>3880640.8345341515</v>
      </c>
      <c r="AR17" s="43">
        <v>3977656.8553975052</v>
      </c>
      <c r="AS17" s="43">
        <v>4077098.276782441</v>
      </c>
      <c r="AT17" s="43">
        <v>4179025.7337020026</v>
      </c>
      <c r="AU17" s="43">
        <v>4283501.377044552</v>
      </c>
      <c r="AV17" s="43">
        <v>4390588.9114706656</v>
      </c>
      <c r="AW17" s="43">
        <v>42687481.6071501</v>
      </c>
      <c r="AZ17" s="43">
        <v>0</v>
      </c>
      <c r="BA17" s="43" t="str">
        <v>razem wynagrodzenia</v>
      </c>
      <c r="BB17" s="43">
        <v>198923.37241919999</v>
      </c>
      <c r="BC17" s="43">
        <v>220606.02001289278</v>
      </c>
      <c r="BD17" s="43">
        <v>225900.56449320223</v>
      </c>
      <c r="BE17" s="43">
        <v>230905.00549272337</v>
      </c>
      <c r="BF17" s="43">
        <v>236624.44113013122</v>
      </c>
      <c r="BG17" s="43">
        <v>242540.05215838447</v>
      </c>
      <c r="BH17" s="43">
        <v>248603.55346234408</v>
      </c>
      <c r="BI17" s="43">
        <v>254818.64229890256</v>
      </c>
      <c r="BJ17" s="43">
        <v>261189.10835637516</v>
      </c>
      <c r="BK17" s="43">
        <v>267718.8360652845</v>
      </c>
      <c r="BL17" s="43">
        <v>274411.8069669166</v>
      </c>
      <c r="BM17" s="43">
        <v>2667967.6004468813</v>
      </c>
      <c r="BP17" s="43">
        <v>0</v>
      </c>
      <c r="BQ17" s="43" t="str">
        <v>razem wynagrodzenia</v>
      </c>
      <c r="BR17" s="43">
        <v>362640</v>
      </c>
      <c r="BS17" s="43">
        <v>402167.76000000007</v>
      </c>
      <c r="BT17" s="43">
        <v>411819.7862400001</v>
      </c>
      <c r="BU17" s="43">
        <v>420942.94990848011</v>
      </c>
      <c r="BV17" s="43">
        <v>431369.5584780288</v>
      </c>
      <c r="BW17" s="43">
        <v>442153.79743997951</v>
      </c>
      <c r="BX17" s="43">
        <v>453207.64237597905</v>
      </c>
      <c r="BY17" s="43">
        <v>464537.83343537844</v>
      </c>
      <c r="BZ17" s="43">
        <v>476151.27927126287</v>
      </c>
      <c r="CA17" s="43">
        <v>488055.06125304435</v>
      </c>
      <c r="CB17" s="43">
        <v>500256.43778437033</v>
      </c>
      <c r="CC17" s="43">
        <v>4863741.0418881141</v>
      </c>
    </row>
    <row r="18" spans="1:81" x14ac:dyDescent="0.25">
      <c r="O18" s="4"/>
      <c r="P18" s="4"/>
      <c r="AJ18" s="43" t="str">
        <v>dodtakowe wydatki związane z zatrudnieniem</v>
      </c>
      <c r="AK18" s="43" t="str">
        <v>ZFŚS</v>
      </c>
      <c r="AL18" s="43">
        <v>47091.68</v>
      </c>
      <c r="AM18" s="43">
        <v>48221.880320000004</v>
      </c>
      <c r="AN18" s="43">
        <v>49379.205447680004</v>
      </c>
      <c r="AO18" s="43">
        <v>50465.547967528968</v>
      </c>
      <c r="AP18" s="43">
        <v>51727.186666717185</v>
      </c>
      <c r="AQ18" s="43">
        <v>53020.366333385107</v>
      </c>
      <c r="AR18" s="43">
        <v>54345.875491719729</v>
      </c>
      <c r="AS18" s="43">
        <v>55704.52237901272</v>
      </c>
      <c r="AT18" s="43">
        <v>57097.135438488032</v>
      </c>
      <c r="AU18" s="43">
        <v>58524.563824450226</v>
      </c>
      <c r="AV18" s="43">
        <v>59987.677920061476</v>
      </c>
      <c r="AW18" s="43">
        <v>585565.64178904356</v>
      </c>
      <c r="AZ18" s="43" t="str">
        <v>dodtakowe wydatki związane z zatrudnieniem</v>
      </c>
      <c r="BA18" s="43" t="str">
        <v>ZFŚS</v>
      </c>
      <c r="BB18" s="43">
        <v>2943.23</v>
      </c>
      <c r="BC18" s="43">
        <v>3013.8675200000002</v>
      </c>
      <c r="BD18" s="43">
        <v>3086.2003404800002</v>
      </c>
      <c r="BE18" s="43">
        <v>3154.0967479705605</v>
      </c>
      <c r="BF18" s="43">
        <v>3232.9491666698241</v>
      </c>
      <c r="BG18" s="43">
        <v>3313.7728958365692</v>
      </c>
      <c r="BH18" s="43">
        <v>3396.6172182324831</v>
      </c>
      <c r="BI18" s="43">
        <v>3481.532648688295</v>
      </c>
      <c r="BJ18" s="43">
        <v>3568.570964905502</v>
      </c>
      <c r="BK18" s="43">
        <v>3657.7852390281391</v>
      </c>
      <c r="BL18" s="43">
        <v>3749.2298700038423</v>
      </c>
      <c r="BM18" s="43">
        <v>36597.852611815222</v>
      </c>
      <c r="BP18" s="43" t="str">
        <v>dodtakowe wydatki związane z zatrudnieniem</v>
      </c>
      <c r="BQ18" s="43" t="str">
        <v>ZFŚS</v>
      </c>
      <c r="BR18" s="43">
        <v>2943.23</v>
      </c>
      <c r="BS18" s="43">
        <v>3013.8675200000002</v>
      </c>
      <c r="BT18" s="43">
        <v>3086.2003404800002</v>
      </c>
      <c r="BU18" s="43">
        <v>3154.0967479705605</v>
      </c>
      <c r="BV18" s="43">
        <v>3232.9491666698241</v>
      </c>
      <c r="BW18" s="43">
        <v>3313.7728958365692</v>
      </c>
      <c r="BX18" s="43">
        <v>3396.6172182324831</v>
      </c>
      <c r="BY18" s="43">
        <v>3481.532648688295</v>
      </c>
      <c r="BZ18" s="43">
        <v>3568.570964905502</v>
      </c>
      <c r="CA18" s="43">
        <v>3657.7852390281391</v>
      </c>
      <c r="CB18" s="43">
        <v>3749.2298700038423</v>
      </c>
      <c r="CC18" s="43">
        <v>36597.852611815222</v>
      </c>
    </row>
    <row r="19" spans="1:81" x14ac:dyDescent="0.25">
      <c r="AJ19" s="43">
        <v>0</v>
      </c>
      <c r="AK19" s="43" t="str">
        <v>medycyna pracy (badania wstępne)</v>
      </c>
      <c r="AL19" s="43">
        <v>8800</v>
      </c>
      <c r="AM19" s="43">
        <v>0</v>
      </c>
      <c r="AN19" s="43">
        <v>0</v>
      </c>
      <c r="AO19" s="43">
        <v>0</v>
      </c>
      <c r="AP19" s="43">
        <v>0</v>
      </c>
      <c r="AQ19" s="43">
        <v>0</v>
      </c>
      <c r="AR19" s="43">
        <v>0</v>
      </c>
      <c r="AS19" s="43">
        <v>0</v>
      </c>
      <c r="AT19" s="43">
        <v>0</v>
      </c>
      <c r="AU19" s="43">
        <v>0</v>
      </c>
      <c r="AV19" s="43">
        <v>0</v>
      </c>
      <c r="AW19" s="43">
        <v>8800</v>
      </c>
      <c r="AZ19" s="43">
        <v>0</v>
      </c>
      <c r="BA19" s="43" t="str">
        <v>medycyna pracy (badania wstępne)</v>
      </c>
      <c r="BB19" s="43">
        <v>550</v>
      </c>
      <c r="BC19" s="43">
        <v>0</v>
      </c>
      <c r="BD19" s="43">
        <v>0</v>
      </c>
      <c r="BE19" s="43">
        <v>0</v>
      </c>
      <c r="BF19" s="43">
        <v>0</v>
      </c>
      <c r="BG19" s="43">
        <v>0</v>
      </c>
      <c r="BH19" s="43">
        <v>0</v>
      </c>
      <c r="BI19" s="43">
        <v>0</v>
      </c>
      <c r="BJ19" s="43">
        <v>0</v>
      </c>
      <c r="BK19" s="43">
        <v>0</v>
      </c>
      <c r="BL19" s="43">
        <v>0</v>
      </c>
      <c r="BM19" s="43">
        <v>550</v>
      </c>
      <c r="BP19" s="43">
        <v>0</v>
      </c>
      <c r="BQ19" s="43" t="str">
        <v>medycyna pracy (badania wstępne)</v>
      </c>
      <c r="BR19" s="43">
        <v>550</v>
      </c>
      <c r="BS19" s="43">
        <v>0</v>
      </c>
      <c r="BT19" s="43">
        <v>0</v>
      </c>
      <c r="BU19" s="43">
        <v>0</v>
      </c>
      <c r="BV19" s="43">
        <v>0</v>
      </c>
      <c r="BW19" s="43">
        <v>0</v>
      </c>
      <c r="BX19" s="43">
        <v>0</v>
      </c>
      <c r="BY19" s="43">
        <v>0</v>
      </c>
      <c r="BZ19" s="43">
        <v>0</v>
      </c>
      <c r="CA19" s="43">
        <v>0</v>
      </c>
      <c r="CB19" s="43">
        <v>0</v>
      </c>
      <c r="CC19" s="43">
        <v>550</v>
      </c>
    </row>
    <row r="20" spans="1:81" x14ac:dyDescent="0.25">
      <c r="AJ20" s="43">
        <v>0</v>
      </c>
      <c r="AK20" s="43" t="str">
        <v>medycyna pracy (badania okresowe)</v>
      </c>
      <c r="AL20" s="43">
        <v>0</v>
      </c>
      <c r="AM20" s="43">
        <v>0</v>
      </c>
      <c r="AN20" s="43">
        <v>11089.739776</v>
      </c>
      <c r="AO20" s="43">
        <v>0</v>
      </c>
      <c r="AP20" s="43">
        <v>11617.056902348801</v>
      </c>
      <c r="AQ20" s="43">
        <v>0</v>
      </c>
      <c r="AR20" s="43">
        <v>12205.170408030206</v>
      </c>
      <c r="AS20" s="43">
        <v>0</v>
      </c>
      <c r="AT20" s="43">
        <v>12823.057159936734</v>
      </c>
      <c r="AU20" s="43">
        <v>0</v>
      </c>
      <c r="AV20" s="43">
        <v>13472.224428658528</v>
      </c>
      <c r="AW20" s="43">
        <v>61207.248674974267</v>
      </c>
      <c r="AZ20" s="43">
        <v>0</v>
      </c>
      <c r="BA20" s="43" t="str">
        <v>medycyna pracy (badania okresowe)</v>
      </c>
      <c r="BB20" s="43">
        <v>0</v>
      </c>
      <c r="BC20" s="43">
        <v>0</v>
      </c>
      <c r="BD20" s="43">
        <v>693.10873600000002</v>
      </c>
      <c r="BE20" s="43">
        <v>0</v>
      </c>
      <c r="BF20" s="43">
        <v>726.06605639680004</v>
      </c>
      <c r="BG20" s="43">
        <v>0</v>
      </c>
      <c r="BH20" s="43">
        <v>762.82315050188788</v>
      </c>
      <c r="BI20" s="43">
        <v>0</v>
      </c>
      <c r="BJ20" s="43">
        <v>801.44107249604588</v>
      </c>
      <c r="BK20" s="43">
        <v>0</v>
      </c>
      <c r="BL20" s="43">
        <v>842.01402679115802</v>
      </c>
      <c r="BM20" s="43">
        <v>3825.4530421858917</v>
      </c>
      <c r="BP20" s="43">
        <v>0</v>
      </c>
      <c r="BQ20" s="43" t="str">
        <v>medycyna pracy (badania okresowe)</v>
      </c>
      <c r="BR20" s="43">
        <v>0</v>
      </c>
      <c r="BS20" s="43">
        <v>0</v>
      </c>
      <c r="BT20" s="43">
        <v>693.10873600000002</v>
      </c>
      <c r="BU20" s="43">
        <v>0</v>
      </c>
      <c r="BV20" s="43">
        <v>726.06605639680004</v>
      </c>
      <c r="BW20" s="43">
        <v>0</v>
      </c>
      <c r="BX20" s="43">
        <v>762.82315050188788</v>
      </c>
      <c r="BY20" s="43">
        <v>0</v>
      </c>
      <c r="BZ20" s="43">
        <v>801.44107249604588</v>
      </c>
      <c r="CA20" s="43">
        <v>0</v>
      </c>
      <c r="CB20" s="43">
        <v>842.01402679115802</v>
      </c>
      <c r="CC20" s="43">
        <v>3825.4530421858917</v>
      </c>
    </row>
    <row r="21" spans="1:81" ht="45.75" customHeight="1" x14ac:dyDescent="0.25">
      <c r="A21" s="285" t="s">
        <v>11</v>
      </c>
      <c r="B21" s="286"/>
      <c r="C21" s="287"/>
      <c r="D21" s="292" t="s">
        <v>12</v>
      </c>
      <c r="E21" s="293"/>
      <c r="F21" s="293"/>
      <c r="G21" s="293"/>
      <c r="H21" s="293"/>
      <c r="I21" s="293"/>
      <c r="J21" s="293"/>
      <c r="K21" s="293"/>
      <c r="L21" s="293"/>
      <c r="M21" s="293"/>
      <c r="N21" s="293"/>
      <c r="O21" s="294"/>
      <c r="P21" s="298" t="s">
        <v>13</v>
      </c>
      <c r="Q21" s="298"/>
      <c r="R21" s="298"/>
      <c r="S21" s="298"/>
      <c r="T21" s="298"/>
      <c r="U21" s="222"/>
      <c r="AB21" s="212"/>
      <c r="AC21" s="212"/>
      <c r="AD21" s="284" t="s">
        <v>172</v>
      </c>
      <c r="AE21" s="284"/>
      <c r="AF21" s="284"/>
      <c r="AG21" s="284"/>
      <c r="AJ21" s="43">
        <v>0</v>
      </c>
      <c r="AK21" s="43" t="str">
        <v>BHP (dofinansowanie okularów do pracy przy komputerze)</v>
      </c>
      <c r="AL21" s="43">
        <v>9600</v>
      </c>
      <c r="AM21" s="43">
        <v>0</v>
      </c>
      <c r="AN21" s="43">
        <v>10066.329599999999</v>
      </c>
      <c r="AO21" s="43">
        <v>0</v>
      </c>
      <c r="AP21" s="43">
        <v>10544.983572479998</v>
      </c>
      <c r="AQ21" s="43">
        <v>0</v>
      </c>
      <c r="AR21" s="43">
        <v>11078.823365836795</v>
      </c>
      <c r="AS21" s="43">
        <v>0</v>
      </c>
      <c r="AT21" s="43">
        <v>11639.688798732281</v>
      </c>
      <c r="AU21" s="43">
        <v>0</v>
      </c>
      <c r="AV21" s="43">
        <v>12228.948044168101</v>
      </c>
      <c r="AW21" s="43">
        <v>65158.773381217172</v>
      </c>
      <c r="AZ21" s="43">
        <v>0</v>
      </c>
      <c r="BA21" s="43" t="str">
        <v>BHP (dofinansowanie okularów do pracy przy komputerze)</v>
      </c>
      <c r="BB21" s="43">
        <v>600</v>
      </c>
      <c r="BC21" s="43">
        <v>0</v>
      </c>
      <c r="BD21" s="43">
        <v>629.14559999999994</v>
      </c>
      <c r="BE21" s="43">
        <v>0</v>
      </c>
      <c r="BF21" s="43">
        <v>659.06147327999986</v>
      </c>
      <c r="BG21" s="43">
        <v>0</v>
      </c>
      <c r="BH21" s="43">
        <v>692.42646036479971</v>
      </c>
      <c r="BI21" s="43">
        <v>0</v>
      </c>
      <c r="BJ21" s="43">
        <v>727.48054992076754</v>
      </c>
      <c r="BK21" s="43">
        <v>0</v>
      </c>
      <c r="BL21" s="43">
        <v>764.3092527605063</v>
      </c>
      <c r="BM21" s="43">
        <v>4072.4233363260732</v>
      </c>
      <c r="BP21" s="43">
        <v>0</v>
      </c>
      <c r="BQ21" s="43" t="str">
        <v>BHP (dofinansowanie okularów do pracy przy komputerze)</v>
      </c>
      <c r="BR21" s="43">
        <v>600</v>
      </c>
      <c r="BS21" s="43">
        <v>0</v>
      </c>
      <c r="BT21" s="43">
        <v>629.14559999999994</v>
      </c>
      <c r="BU21" s="43">
        <v>0</v>
      </c>
      <c r="BV21" s="43">
        <v>659.06147327999986</v>
      </c>
      <c r="BW21" s="43">
        <v>0</v>
      </c>
      <c r="BX21" s="43">
        <v>692.42646036479971</v>
      </c>
      <c r="BY21" s="43">
        <v>0</v>
      </c>
      <c r="BZ21" s="43">
        <v>727.48054992076754</v>
      </c>
      <c r="CA21" s="43">
        <v>0</v>
      </c>
      <c r="CB21" s="43">
        <v>764.3092527605063</v>
      </c>
      <c r="CC21" s="43">
        <v>4072.4233363260732</v>
      </c>
    </row>
    <row r="22" spans="1:81" ht="209.25" customHeight="1" x14ac:dyDescent="0.25">
      <c r="A22" s="223"/>
      <c r="B22" s="224"/>
      <c r="C22" s="224" t="s">
        <v>14</v>
      </c>
      <c r="D22" s="225" t="s">
        <v>112</v>
      </c>
      <c r="E22" s="225" t="s">
        <v>78</v>
      </c>
      <c r="F22" s="225" t="s">
        <v>15</v>
      </c>
      <c r="G22" s="225" t="s">
        <v>16</v>
      </c>
      <c r="H22" s="225" t="s">
        <v>17</v>
      </c>
      <c r="I22" s="225" t="s">
        <v>18</v>
      </c>
      <c r="J22" s="225" t="s">
        <v>151</v>
      </c>
      <c r="K22" s="225" t="s">
        <v>19</v>
      </c>
      <c r="L22" s="225" t="s">
        <v>17</v>
      </c>
      <c r="M22" s="225" t="s">
        <v>18</v>
      </c>
      <c r="N22" s="225" t="s">
        <v>151</v>
      </c>
      <c r="O22" s="225" t="s">
        <v>20</v>
      </c>
      <c r="P22" s="226" t="s">
        <v>21</v>
      </c>
      <c r="Q22" s="227" t="s">
        <v>22</v>
      </c>
      <c r="R22" s="227" t="s">
        <v>23</v>
      </c>
      <c r="S22" s="227" t="s">
        <v>24</v>
      </c>
      <c r="T22" s="227" t="s">
        <v>25</v>
      </c>
      <c r="U22" s="228" t="s">
        <v>26</v>
      </c>
      <c r="X22" s="213" t="s">
        <v>174</v>
      </c>
      <c r="Y22" s="213" t="s">
        <v>175</v>
      </c>
      <c r="Z22" s="213" t="s">
        <v>176</v>
      </c>
      <c r="AA22" s="213" t="s">
        <v>177</v>
      </c>
      <c r="AB22" s="214" t="s">
        <v>178</v>
      </c>
      <c r="AC22" s="214" t="s">
        <v>179</v>
      </c>
      <c r="AD22" s="215" t="s">
        <v>180</v>
      </c>
      <c r="AE22" s="215" t="s">
        <v>181</v>
      </c>
      <c r="AF22" s="215" t="s">
        <v>182</v>
      </c>
      <c r="AG22" s="216" t="s">
        <v>173</v>
      </c>
    </row>
    <row r="23" spans="1:81" ht="15.75" customHeight="1" x14ac:dyDescent="0.25">
      <c r="A23" s="178">
        <v>2027</v>
      </c>
      <c r="B23" s="229" t="s">
        <v>27</v>
      </c>
      <c r="C23" s="230">
        <v>1</v>
      </c>
      <c r="D23" s="176">
        <f>13379.08*102.5%</f>
        <v>13713.556999999999</v>
      </c>
      <c r="E23" s="18">
        <v>0</v>
      </c>
      <c r="F23" s="189">
        <v>12</v>
      </c>
      <c r="G23" s="231">
        <f>C23*D23*F23</f>
        <v>164562.68399999998</v>
      </c>
      <c r="H23" s="231">
        <f t="shared" ref="H23:H34" si="26">G23*2.45%</f>
        <v>4031.7857579999995</v>
      </c>
      <c r="I23" s="231">
        <f>G23*16.93%</f>
        <v>27860.462401199999</v>
      </c>
      <c r="J23" s="231">
        <f>G23*1.5%</f>
        <v>2468.4402599999994</v>
      </c>
      <c r="K23" s="231">
        <v>0</v>
      </c>
      <c r="L23" s="231">
        <f t="shared" ref="L23:L34" si="27">K23*2.45%</f>
        <v>0</v>
      </c>
      <c r="M23" s="231">
        <f t="shared" ref="M23:M34" si="28">K23*17.19%</f>
        <v>0</v>
      </c>
      <c r="N23" s="231">
        <f>K23*1.5%</f>
        <v>0</v>
      </c>
      <c r="O23" s="232">
        <f>SUM(G23:N23)</f>
        <v>198923.37241919999</v>
      </c>
      <c r="P23" s="177">
        <f>2943.23*C23</f>
        <v>2943.23</v>
      </c>
      <c r="Q23" s="177">
        <f>C23*550</f>
        <v>550</v>
      </c>
      <c r="R23" s="233"/>
      <c r="S23" s="177">
        <f>C23*600</f>
        <v>600</v>
      </c>
      <c r="T23" s="234">
        <f>SUM(P23:S23)</f>
        <v>4093.23</v>
      </c>
      <c r="U23" s="217">
        <f>(O23+T23)</f>
        <v>203016.6024192</v>
      </c>
      <c r="X23" s="20">
        <f t="shared" ref="X23:X33" si="29">G23+K23</f>
        <v>164562.68399999998</v>
      </c>
      <c r="Y23" s="20">
        <f>X23*13.71%</f>
        <v>22561.543976399997</v>
      </c>
      <c r="Z23" s="20">
        <f t="shared" ref="Z23:Z33" si="30">F23*250*C23</f>
        <v>3000</v>
      </c>
      <c r="AA23" s="20">
        <f>X23-Y23-Z23</f>
        <v>139001.14002359999</v>
      </c>
      <c r="AB23" s="218">
        <f t="shared" ref="AB23:AB33" si="31">AA23/C23</f>
        <v>139001.14002359999</v>
      </c>
      <c r="AC23" s="218">
        <f>IF(AB23&lt;120000,((AB23*0.12)-3600),((10800+((AB23-120000)*0.32))))</f>
        <v>16880.364807551996</v>
      </c>
      <c r="AD23" s="219">
        <f t="shared" ref="AD23:AD33" si="32">AC23*C23</f>
        <v>16880.364807551996</v>
      </c>
      <c r="AE23" s="219">
        <f t="shared" ref="AE23:AE33" si="33">I23+M23+Y23</f>
        <v>50422.006377599995</v>
      </c>
      <c r="AF23" s="219">
        <f>(X23-Y23)*0.09</f>
        <v>12780.102602124</v>
      </c>
      <c r="AG23" s="219">
        <f t="shared" ref="AG23:AG33" si="34">H23+L23</f>
        <v>4031.7857579999995</v>
      </c>
    </row>
    <row r="24" spans="1:81" ht="15.75" customHeight="1" x14ac:dyDescent="0.25">
      <c r="A24" s="178">
        <v>2028</v>
      </c>
      <c r="B24" s="230">
        <v>1</v>
      </c>
      <c r="C24" s="230">
        <v>1</v>
      </c>
      <c r="D24" s="176">
        <f t="shared" ref="D24:D32" si="35">D23*E24</f>
        <v>14042.682368</v>
      </c>
      <c r="E24" s="18">
        <v>1.024</v>
      </c>
      <c r="F24" s="189">
        <v>12</v>
      </c>
      <c r="G24" s="231">
        <f t="shared" ref="G24:G30" si="36">C24*D24*F24</f>
        <v>168512.18841599999</v>
      </c>
      <c r="H24" s="231">
        <f t="shared" si="26"/>
        <v>4128.5486161919998</v>
      </c>
      <c r="I24" s="231">
        <f t="shared" ref="I24:I33" si="37">G24*16.93%</f>
        <v>28529.113498828799</v>
      </c>
      <c r="J24" s="231">
        <f>G24*1.5%</f>
        <v>2527.6828262399999</v>
      </c>
      <c r="K24" s="231">
        <f t="shared" ref="K24:K33" si="38">G23*8.5%</f>
        <v>13987.82814</v>
      </c>
      <c r="L24" s="231">
        <f t="shared" si="27"/>
        <v>342.70178943000002</v>
      </c>
      <c r="M24" s="231">
        <f>K24*16.93%</f>
        <v>2368.1393041020001</v>
      </c>
      <c r="N24" s="231">
        <f t="shared" ref="N24:N33" si="39">K24*1.5%</f>
        <v>209.81742209999999</v>
      </c>
      <c r="O24" s="232">
        <f t="shared" ref="O24:O34" si="40">SUM(G24:N24)</f>
        <v>220606.02001289278</v>
      </c>
      <c r="P24" s="177">
        <f>P23*E24</f>
        <v>3013.8675200000002</v>
      </c>
      <c r="Q24" s="235"/>
      <c r="R24" s="236"/>
      <c r="S24" s="237"/>
      <c r="T24" s="234">
        <f t="shared" ref="T24:T32" si="41">SUM(P24:S24)</f>
        <v>3013.8675200000002</v>
      </c>
      <c r="U24" s="217">
        <f t="shared" ref="U24:U34" si="42">O24+T24</f>
        <v>223619.88753289278</v>
      </c>
      <c r="X24" s="20">
        <f t="shared" si="29"/>
        <v>182500.01655599999</v>
      </c>
      <c r="Y24" s="20">
        <f t="shared" ref="Y24:Y33" si="43">X24*13.71%</f>
        <v>25020.752269827597</v>
      </c>
      <c r="Z24" s="20">
        <f t="shared" si="30"/>
        <v>3000</v>
      </c>
      <c r="AA24" s="20">
        <f t="shared" ref="AA24:AA33" si="44">X24-Y24-Z24</f>
        <v>154479.2642861724</v>
      </c>
      <c r="AB24" s="218">
        <f t="shared" si="31"/>
        <v>154479.2642861724</v>
      </c>
      <c r="AC24" s="218">
        <f t="shared" ref="AC24:AC33" si="45">IF(AB24&lt;120000,((AB24*0.12)-3600),((10800+((AB24-120000)*0.32))))</f>
        <v>21833.36457157517</v>
      </c>
      <c r="AD24" s="219">
        <f t="shared" si="32"/>
        <v>21833.36457157517</v>
      </c>
      <c r="AE24" s="219">
        <f t="shared" si="33"/>
        <v>55918.005072758402</v>
      </c>
      <c r="AF24" s="219">
        <f t="shared" ref="AF24:AF33" si="46">(X24-Y24)*0.09</f>
        <v>14173.133785755515</v>
      </c>
      <c r="AG24" s="219">
        <f t="shared" si="34"/>
        <v>4471.2504056219996</v>
      </c>
    </row>
    <row r="25" spans="1:81" ht="15.75" customHeight="1" x14ac:dyDescent="0.25">
      <c r="A25" s="178">
        <v>2029</v>
      </c>
      <c r="B25" s="230">
        <v>2</v>
      </c>
      <c r="C25" s="230">
        <v>1</v>
      </c>
      <c r="D25" s="176">
        <f t="shared" si="35"/>
        <v>14379.706744831999</v>
      </c>
      <c r="E25" s="18">
        <v>1.024</v>
      </c>
      <c r="F25" s="189">
        <v>12</v>
      </c>
      <c r="G25" s="231">
        <f t="shared" si="36"/>
        <v>172556.48093798399</v>
      </c>
      <c r="H25" s="231">
        <f t="shared" si="26"/>
        <v>4227.633782980608</v>
      </c>
      <c r="I25" s="231">
        <f t="shared" si="37"/>
        <v>29213.812222800691</v>
      </c>
      <c r="J25" s="231">
        <f t="shared" ref="J25:J33" si="47">G25*1.5%</f>
        <v>2588.3472140697595</v>
      </c>
      <c r="K25" s="231">
        <f t="shared" si="38"/>
        <v>14323.53601536</v>
      </c>
      <c r="L25" s="231">
        <f t="shared" si="27"/>
        <v>350.92663237632001</v>
      </c>
      <c r="M25" s="231">
        <f t="shared" ref="M25:M33" si="48">K25*16.93%</f>
        <v>2424.9746474004478</v>
      </c>
      <c r="N25" s="231">
        <f t="shared" si="39"/>
        <v>214.85304023039998</v>
      </c>
      <c r="O25" s="232">
        <f t="shared" si="40"/>
        <v>225900.56449320223</v>
      </c>
      <c r="P25" s="177">
        <f t="shared" ref="P25:P33" si="49">P24*E25</f>
        <v>3086.2003404800002</v>
      </c>
      <c r="Q25" s="235"/>
      <c r="R25" s="177">
        <f>661*$E24*$E25*$C25</f>
        <v>693.10873600000002</v>
      </c>
      <c r="S25" s="220">
        <f>S23*$E25*$E24</f>
        <v>629.14559999999994</v>
      </c>
      <c r="T25" s="234">
        <f t="shared" si="41"/>
        <v>4408.4546764800007</v>
      </c>
      <c r="U25" s="217">
        <f t="shared" si="42"/>
        <v>230309.01916968223</v>
      </c>
      <c r="X25" s="20">
        <f t="shared" si="29"/>
        <v>186880.01695334399</v>
      </c>
      <c r="Y25" s="20">
        <f t="shared" si="43"/>
        <v>25621.250324303463</v>
      </c>
      <c r="Z25" s="20">
        <f t="shared" si="30"/>
        <v>3000</v>
      </c>
      <c r="AA25" s="20">
        <f t="shared" si="44"/>
        <v>158258.76662904053</v>
      </c>
      <c r="AB25" s="218">
        <f t="shared" si="31"/>
        <v>158258.76662904053</v>
      </c>
      <c r="AC25" s="218">
        <f t="shared" si="45"/>
        <v>23042.80532129297</v>
      </c>
      <c r="AD25" s="219">
        <f t="shared" si="32"/>
        <v>23042.80532129297</v>
      </c>
      <c r="AE25" s="219">
        <f t="shared" si="33"/>
        <v>57260.037194504606</v>
      </c>
      <c r="AF25" s="219">
        <f t="shared" si="46"/>
        <v>14513.288996613648</v>
      </c>
      <c r="AG25" s="219">
        <f t="shared" si="34"/>
        <v>4578.5604153569284</v>
      </c>
    </row>
    <row r="26" spans="1:81" ht="15.75" customHeight="1" x14ac:dyDescent="0.25">
      <c r="A26" s="178">
        <v>2030</v>
      </c>
      <c r="B26" s="230">
        <v>3</v>
      </c>
      <c r="C26" s="230">
        <v>1</v>
      </c>
      <c r="D26" s="176">
        <f t="shared" si="35"/>
        <v>14696.060293218303</v>
      </c>
      <c r="E26" s="18">
        <v>1.022</v>
      </c>
      <c r="F26" s="189">
        <v>12</v>
      </c>
      <c r="G26" s="231">
        <f t="shared" si="36"/>
        <v>176352.72351861963</v>
      </c>
      <c r="H26" s="231">
        <f t="shared" si="26"/>
        <v>4320.6417262061814</v>
      </c>
      <c r="I26" s="231">
        <f t="shared" si="37"/>
        <v>29856.516091702306</v>
      </c>
      <c r="J26" s="231">
        <f t="shared" si="47"/>
        <v>2645.2908527792943</v>
      </c>
      <c r="K26" s="231">
        <f t="shared" si="38"/>
        <v>14667.30087972864</v>
      </c>
      <c r="L26" s="231">
        <f t="shared" si="27"/>
        <v>359.34887155335167</v>
      </c>
      <c r="M26" s="231">
        <f t="shared" si="48"/>
        <v>2483.1740389380589</v>
      </c>
      <c r="N26" s="231">
        <f t="shared" si="39"/>
        <v>220.0095131959296</v>
      </c>
      <c r="O26" s="232">
        <f t="shared" si="40"/>
        <v>230905.00549272337</v>
      </c>
      <c r="P26" s="177">
        <f t="shared" si="49"/>
        <v>3154.0967479705605</v>
      </c>
      <c r="Q26" s="235"/>
      <c r="R26" s="118"/>
      <c r="S26" s="118"/>
      <c r="T26" s="234">
        <f t="shared" si="41"/>
        <v>3154.0967479705605</v>
      </c>
      <c r="U26" s="217">
        <f t="shared" si="42"/>
        <v>234059.10224069393</v>
      </c>
      <c r="X26" s="20">
        <f t="shared" si="29"/>
        <v>191020.02439834827</v>
      </c>
      <c r="Y26" s="20">
        <f t="shared" si="43"/>
        <v>26188.845345013546</v>
      </c>
      <c r="Z26" s="20">
        <f t="shared" si="30"/>
        <v>3000</v>
      </c>
      <c r="AA26" s="20">
        <f t="shared" si="44"/>
        <v>161831.17905333472</v>
      </c>
      <c r="AB26" s="218">
        <f t="shared" si="31"/>
        <v>161831.17905333472</v>
      </c>
      <c r="AC26" s="218">
        <f t="shared" si="45"/>
        <v>24185.977297067111</v>
      </c>
      <c r="AD26" s="219">
        <f t="shared" si="32"/>
        <v>24185.977297067111</v>
      </c>
      <c r="AE26" s="219">
        <f t="shared" si="33"/>
        <v>58528.535475653909</v>
      </c>
      <c r="AF26" s="219">
        <f t="shared" si="46"/>
        <v>14834.806114800125</v>
      </c>
      <c r="AG26" s="219">
        <f t="shared" si="34"/>
        <v>4679.9905977595326</v>
      </c>
    </row>
    <row r="27" spans="1:81" ht="15.75" customHeight="1" x14ac:dyDescent="0.25">
      <c r="A27" s="178">
        <v>2031</v>
      </c>
      <c r="B27" s="230">
        <v>4</v>
      </c>
      <c r="C27" s="230">
        <v>1</v>
      </c>
      <c r="D27" s="176">
        <f t="shared" si="35"/>
        <v>15063.461800548759</v>
      </c>
      <c r="E27" s="18">
        <v>1.0249999999999999</v>
      </c>
      <c r="F27" s="189">
        <v>12</v>
      </c>
      <c r="G27" s="231">
        <f t="shared" si="36"/>
        <v>180761.54160658512</v>
      </c>
      <c r="H27" s="231">
        <f t="shared" si="26"/>
        <v>4428.6577693613353</v>
      </c>
      <c r="I27" s="231">
        <f t="shared" si="37"/>
        <v>30602.928993994861</v>
      </c>
      <c r="J27" s="231">
        <f t="shared" si="47"/>
        <v>2711.4231240987765</v>
      </c>
      <c r="K27" s="231">
        <f t="shared" si="38"/>
        <v>14989.981499082671</v>
      </c>
      <c r="L27" s="231">
        <f t="shared" si="27"/>
        <v>367.25454672752545</v>
      </c>
      <c r="M27" s="231">
        <f t="shared" si="48"/>
        <v>2537.8038677946961</v>
      </c>
      <c r="N27" s="231">
        <f t="shared" si="39"/>
        <v>224.84972248624004</v>
      </c>
      <c r="O27" s="232">
        <f t="shared" si="40"/>
        <v>236624.44113013122</v>
      </c>
      <c r="P27" s="177">
        <f t="shared" si="49"/>
        <v>3232.9491666698241</v>
      </c>
      <c r="Q27" s="235"/>
      <c r="R27" s="118">
        <f>R25*$E27*$E26</f>
        <v>726.06605639680004</v>
      </c>
      <c r="S27" s="118">
        <f>S25*$E27*$E26</f>
        <v>659.06147327999986</v>
      </c>
      <c r="T27" s="234">
        <f t="shared" si="41"/>
        <v>4618.076696346624</v>
      </c>
      <c r="U27" s="217">
        <f t="shared" si="42"/>
        <v>241242.51782647785</v>
      </c>
      <c r="X27" s="20">
        <f t="shared" si="29"/>
        <v>195751.52310566779</v>
      </c>
      <c r="Y27" s="20">
        <f t="shared" si="43"/>
        <v>26837.533817787054</v>
      </c>
      <c r="Z27" s="20">
        <f t="shared" si="30"/>
        <v>3000</v>
      </c>
      <c r="AA27" s="20">
        <f t="shared" si="44"/>
        <v>165913.98928788074</v>
      </c>
      <c r="AB27" s="218">
        <f t="shared" si="31"/>
        <v>165913.98928788074</v>
      </c>
      <c r="AC27" s="218">
        <f t="shared" si="45"/>
        <v>25492.476572121839</v>
      </c>
      <c r="AD27" s="219">
        <f t="shared" si="32"/>
        <v>25492.476572121839</v>
      </c>
      <c r="AE27" s="219">
        <f t="shared" si="33"/>
        <v>59978.266679576613</v>
      </c>
      <c r="AF27" s="219">
        <f t="shared" si="46"/>
        <v>15202.259035909266</v>
      </c>
      <c r="AG27" s="219">
        <f t="shared" si="34"/>
        <v>4795.9123160888612</v>
      </c>
    </row>
    <row r="28" spans="1:81" ht="15.75" customHeight="1" x14ac:dyDescent="0.25">
      <c r="A28" s="178">
        <v>2032</v>
      </c>
      <c r="B28" s="230">
        <v>5</v>
      </c>
      <c r="C28" s="230">
        <v>1</v>
      </c>
      <c r="D28" s="176">
        <f t="shared" si="35"/>
        <v>15440.048345562476</v>
      </c>
      <c r="E28" s="18">
        <v>1.0249999999999999</v>
      </c>
      <c r="F28" s="189">
        <v>12</v>
      </c>
      <c r="G28" s="231">
        <f t="shared" si="36"/>
        <v>185280.58014674971</v>
      </c>
      <c r="H28" s="231">
        <f t="shared" si="26"/>
        <v>4539.374213595368</v>
      </c>
      <c r="I28" s="231">
        <f t="shared" si="37"/>
        <v>31368.002218844726</v>
      </c>
      <c r="J28" s="231">
        <f t="shared" si="47"/>
        <v>2779.2087022012456</v>
      </c>
      <c r="K28" s="231">
        <f t="shared" si="38"/>
        <v>15364.731036559737</v>
      </c>
      <c r="L28" s="231">
        <f t="shared" si="27"/>
        <v>376.43591039571356</v>
      </c>
      <c r="M28" s="231">
        <f t="shared" si="48"/>
        <v>2601.2489644895636</v>
      </c>
      <c r="N28" s="231">
        <f t="shared" si="39"/>
        <v>230.47096554839604</v>
      </c>
      <c r="O28" s="232">
        <f t="shared" si="40"/>
        <v>242540.05215838447</v>
      </c>
      <c r="P28" s="177">
        <f t="shared" si="49"/>
        <v>3313.7728958365692</v>
      </c>
      <c r="Q28" s="235"/>
      <c r="R28" s="118"/>
      <c r="S28" s="118"/>
      <c r="T28" s="234">
        <f t="shared" si="41"/>
        <v>3313.7728958365692</v>
      </c>
      <c r="U28" s="217">
        <f t="shared" si="42"/>
        <v>245853.82505422103</v>
      </c>
      <c r="X28" s="20">
        <f t="shared" si="29"/>
        <v>200645.31118330944</v>
      </c>
      <c r="Y28" s="20">
        <f t="shared" si="43"/>
        <v>27508.472163231723</v>
      </c>
      <c r="Z28" s="20">
        <f t="shared" si="30"/>
        <v>3000</v>
      </c>
      <c r="AA28" s="20">
        <f t="shared" si="44"/>
        <v>170136.83902007772</v>
      </c>
      <c r="AB28" s="218">
        <f t="shared" si="31"/>
        <v>170136.83902007772</v>
      </c>
      <c r="AC28" s="218">
        <f t="shared" si="45"/>
        <v>26843.78848642487</v>
      </c>
      <c r="AD28" s="219">
        <f t="shared" si="32"/>
        <v>26843.78848642487</v>
      </c>
      <c r="AE28" s="219">
        <f t="shared" si="33"/>
        <v>61477.72334656601</v>
      </c>
      <c r="AF28" s="219">
        <f t="shared" si="46"/>
        <v>15582.315511806994</v>
      </c>
      <c r="AG28" s="219">
        <f t="shared" si="34"/>
        <v>4915.8101239910811</v>
      </c>
    </row>
    <row r="29" spans="1:81" ht="15.75" customHeight="1" x14ac:dyDescent="0.25">
      <c r="A29" s="178">
        <v>2033</v>
      </c>
      <c r="B29" s="230">
        <v>6</v>
      </c>
      <c r="C29" s="230">
        <v>1</v>
      </c>
      <c r="D29" s="176">
        <f t="shared" si="35"/>
        <v>15826.049554201536</v>
      </c>
      <c r="E29" s="18">
        <v>1.0249999999999999</v>
      </c>
      <c r="F29" s="189">
        <v>12</v>
      </c>
      <c r="G29" s="231">
        <f t="shared" si="36"/>
        <v>189912.59465041844</v>
      </c>
      <c r="H29" s="231">
        <f t="shared" si="26"/>
        <v>4652.8585689352522</v>
      </c>
      <c r="I29" s="231">
        <f t="shared" si="37"/>
        <v>32152.202274315841</v>
      </c>
      <c r="J29" s="231">
        <f t="shared" si="47"/>
        <v>2848.6889197562764</v>
      </c>
      <c r="K29" s="231">
        <f t="shared" si="38"/>
        <v>15748.849312473727</v>
      </c>
      <c r="L29" s="231">
        <f t="shared" si="27"/>
        <v>385.84680815560631</v>
      </c>
      <c r="M29" s="231">
        <f t="shared" si="48"/>
        <v>2666.2801886018019</v>
      </c>
      <c r="N29" s="231">
        <f t="shared" si="39"/>
        <v>236.23273968710589</v>
      </c>
      <c r="O29" s="232">
        <f t="shared" si="40"/>
        <v>248603.55346234408</v>
      </c>
      <c r="P29" s="177">
        <f t="shared" si="49"/>
        <v>3396.6172182324831</v>
      </c>
      <c r="Q29" s="235"/>
      <c r="R29" s="118">
        <f>R27*$E29*$E28</f>
        <v>762.82315050188788</v>
      </c>
      <c r="S29" s="118">
        <f>S27*$E29*$E28</f>
        <v>692.42646036479971</v>
      </c>
      <c r="T29" s="234">
        <f t="shared" si="41"/>
        <v>4851.8668290991709</v>
      </c>
      <c r="U29" s="217">
        <f t="shared" si="42"/>
        <v>253455.42029144324</v>
      </c>
      <c r="X29" s="20">
        <f t="shared" si="29"/>
        <v>205661.44396289217</v>
      </c>
      <c r="Y29" s="20">
        <f t="shared" si="43"/>
        <v>28196.183967312518</v>
      </c>
      <c r="Z29" s="20">
        <f t="shared" si="30"/>
        <v>3000</v>
      </c>
      <c r="AA29" s="20">
        <f t="shared" si="44"/>
        <v>174465.25999557966</v>
      </c>
      <c r="AB29" s="218">
        <f t="shared" si="31"/>
        <v>174465.25999557966</v>
      </c>
      <c r="AC29" s="218">
        <f t="shared" si="45"/>
        <v>28228.883198585492</v>
      </c>
      <c r="AD29" s="219">
        <f t="shared" si="32"/>
        <v>28228.883198585492</v>
      </c>
      <c r="AE29" s="219">
        <f t="shared" si="33"/>
        <v>63014.666430230165</v>
      </c>
      <c r="AF29" s="219">
        <f t="shared" si="46"/>
        <v>15971.873399602169</v>
      </c>
      <c r="AG29" s="219">
        <f t="shared" si="34"/>
        <v>5038.7053770908587</v>
      </c>
    </row>
    <row r="30" spans="1:81" ht="15.75" customHeight="1" x14ac:dyDescent="0.25">
      <c r="A30" s="178">
        <v>2034</v>
      </c>
      <c r="B30" s="230">
        <v>7</v>
      </c>
      <c r="C30" s="230">
        <v>1</v>
      </c>
      <c r="D30" s="176">
        <f t="shared" si="35"/>
        <v>16221.700793056572</v>
      </c>
      <c r="E30" s="18">
        <v>1.0249999999999999</v>
      </c>
      <c r="F30" s="189">
        <v>12</v>
      </c>
      <c r="G30" s="231">
        <f t="shared" si="36"/>
        <v>194660.40951667886</v>
      </c>
      <c r="H30" s="231">
        <f t="shared" si="26"/>
        <v>4769.1800331586319</v>
      </c>
      <c r="I30" s="231">
        <f t="shared" si="37"/>
        <v>32956.007331173729</v>
      </c>
      <c r="J30" s="231">
        <f t="shared" si="47"/>
        <v>2919.9061427501829</v>
      </c>
      <c r="K30" s="231">
        <f t="shared" si="38"/>
        <v>16142.570545285569</v>
      </c>
      <c r="L30" s="231">
        <f t="shared" si="27"/>
        <v>395.49297835949648</v>
      </c>
      <c r="M30" s="231">
        <f t="shared" si="48"/>
        <v>2732.9371933168468</v>
      </c>
      <c r="N30" s="231">
        <f t="shared" si="39"/>
        <v>242.13855817928354</v>
      </c>
      <c r="O30" s="232">
        <f t="shared" si="40"/>
        <v>254818.64229890256</v>
      </c>
      <c r="P30" s="177">
        <f t="shared" si="49"/>
        <v>3481.532648688295</v>
      </c>
      <c r="Q30" s="235"/>
      <c r="R30" s="118"/>
      <c r="S30" s="118"/>
      <c r="T30" s="234">
        <f t="shared" si="41"/>
        <v>3481.532648688295</v>
      </c>
      <c r="U30" s="217">
        <f t="shared" si="42"/>
        <v>258300.17494759086</v>
      </c>
      <c r="X30" s="20">
        <f t="shared" si="29"/>
        <v>210802.98006196442</v>
      </c>
      <c r="Y30" s="20">
        <f t="shared" si="43"/>
        <v>28901.088566495324</v>
      </c>
      <c r="Z30" s="20">
        <f t="shared" si="30"/>
        <v>3000</v>
      </c>
      <c r="AA30" s="20">
        <f t="shared" si="44"/>
        <v>178901.89149546908</v>
      </c>
      <c r="AB30" s="218">
        <f t="shared" si="31"/>
        <v>178901.89149546908</v>
      </c>
      <c r="AC30" s="218">
        <f t="shared" si="45"/>
        <v>29648.605278550109</v>
      </c>
      <c r="AD30" s="219">
        <f t="shared" si="32"/>
        <v>29648.605278550109</v>
      </c>
      <c r="AE30" s="219">
        <f t="shared" si="33"/>
        <v>64590.033090985897</v>
      </c>
      <c r="AF30" s="219">
        <f t="shared" si="46"/>
        <v>16371.170234592217</v>
      </c>
      <c r="AG30" s="219">
        <f t="shared" si="34"/>
        <v>5164.6730115181281</v>
      </c>
    </row>
    <row r="31" spans="1:81" ht="15.75" customHeight="1" x14ac:dyDescent="0.25">
      <c r="A31" s="178">
        <v>2035</v>
      </c>
      <c r="B31" s="230">
        <v>8</v>
      </c>
      <c r="C31" s="230">
        <v>1</v>
      </c>
      <c r="D31" s="176">
        <f t="shared" si="35"/>
        <v>16627.243312882983</v>
      </c>
      <c r="E31" s="18">
        <v>1.0249999999999999</v>
      </c>
      <c r="F31" s="189">
        <v>12</v>
      </c>
      <c r="G31" s="231">
        <f>C31*D31*F31</f>
        <v>199526.91975459579</v>
      </c>
      <c r="H31" s="231">
        <f t="shared" si="26"/>
        <v>4888.4095339875967</v>
      </c>
      <c r="I31" s="231">
        <f t="shared" si="37"/>
        <v>33779.907514453065</v>
      </c>
      <c r="J31" s="231">
        <f t="shared" si="47"/>
        <v>2992.9037963189367</v>
      </c>
      <c r="K31" s="231">
        <f t="shared" si="38"/>
        <v>16546.134808917705</v>
      </c>
      <c r="L31" s="231">
        <f t="shared" si="27"/>
        <v>405.38030281848376</v>
      </c>
      <c r="M31" s="231">
        <f t="shared" si="48"/>
        <v>2801.2606231497675</v>
      </c>
      <c r="N31" s="231">
        <f t="shared" si="39"/>
        <v>248.19202213376556</v>
      </c>
      <c r="O31" s="232">
        <f t="shared" si="40"/>
        <v>261189.10835637516</v>
      </c>
      <c r="P31" s="177">
        <f t="shared" si="49"/>
        <v>3568.570964905502</v>
      </c>
      <c r="Q31" s="235"/>
      <c r="R31" s="118">
        <f>R29*$E31*$E30</f>
        <v>801.44107249604588</v>
      </c>
      <c r="S31" s="118">
        <f>S29*$E31*$E30</f>
        <v>727.48054992076754</v>
      </c>
      <c r="T31" s="234">
        <f t="shared" si="41"/>
        <v>5097.4925873223156</v>
      </c>
      <c r="U31" s="217">
        <f t="shared" si="42"/>
        <v>266286.6009436975</v>
      </c>
      <c r="X31" s="20">
        <f t="shared" si="29"/>
        <v>216073.05456351349</v>
      </c>
      <c r="Y31" s="20">
        <f t="shared" si="43"/>
        <v>29623.615780657699</v>
      </c>
      <c r="Z31" s="20">
        <f t="shared" si="30"/>
        <v>3000</v>
      </c>
      <c r="AA31" s="20">
        <f t="shared" si="44"/>
        <v>183449.43878285578</v>
      </c>
      <c r="AB31" s="218">
        <f t="shared" si="31"/>
        <v>183449.43878285578</v>
      </c>
      <c r="AC31" s="218">
        <f t="shared" si="45"/>
        <v>31103.82041051385</v>
      </c>
      <c r="AD31" s="219">
        <f t="shared" si="32"/>
        <v>31103.82041051385</v>
      </c>
      <c r="AE31" s="219">
        <f t="shared" si="33"/>
        <v>66204.783918260538</v>
      </c>
      <c r="AF31" s="219">
        <f t="shared" si="46"/>
        <v>16780.44949045702</v>
      </c>
      <c r="AG31" s="219">
        <f t="shared" si="34"/>
        <v>5293.7898368060805</v>
      </c>
    </row>
    <row r="32" spans="1:81" ht="15.75" customHeight="1" x14ac:dyDescent="0.25">
      <c r="A32" s="178">
        <v>2036</v>
      </c>
      <c r="B32" s="230">
        <v>9</v>
      </c>
      <c r="C32" s="230">
        <v>1</v>
      </c>
      <c r="D32" s="176">
        <f t="shared" si="35"/>
        <v>17042.924395705057</v>
      </c>
      <c r="E32" s="18">
        <v>1.0249999999999999</v>
      </c>
      <c r="F32" s="189">
        <v>12</v>
      </c>
      <c r="G32" s="231">
        <f>C32*D32*F32</f>
        <v>204515.09274846068</v>
      </c>
      <c r="H32" s="231">
        <f t="shared" si="26"/>
        <v>5010.619772337287</v>
      </c>
      <c r="I32" s="231">
        <f t="shared" si="37"/>
        <v>34624.405202314396</v>
      </c>
      <c r="J32" s="231">
        <f t="shared" si="47"/>
        <v>3067.72639122691</v>
      </c>
      <c r="K32" s="231">
        <f t="shared" si="38"/>
        <v>16959.788179140643</v>
      </c>
      <c r="L32" s="231">
        <f t="shared" si="27"/>
        <v>415.51481038894576</v>
      </c>
      <c r="M32" s="231">
        <f t="shared" si="48"/>
        <v>2871.292138728511</v>
      </c>
      <c r="N32" s="231">
        <f t="shared" si="39"/>
        <v>254.39682268710965</v>
      </c>
      <c r="O32" s="232">
        <f t="shared" si="40"/>
        <v>267718.8360652845</v>
      </c>
      <c r="P32" s="177">
        <f t="shared" si="49"/>
        <v>3657.7852390281391</v>
      </c>
      <c r="Q32" s="235"/>
      <c r="R32" s="118"/>
      <c r="S32" s="118"/>
      <c r="T32" s="234">
        <f t="shared" si="41"/>
        <v>3657.7852390281391</v>
      </c>
      <c r="U32" s="217">
        <f t="shared" si="42"/>
        <v>271376.62130431266</v>
      </c>
      <c r="X32" s="20">
        <f t="shared" si="29"/>
        <v>221474.88092760133</v>
      </c>
      <c r="Y32" s="20">
        <f t="shared" si="43"/>
        <v>30364.206175174142</v>
      </c>
      <c r="Z32" s="20">
        <f t="shared" si="30"/>
        <v>3000</v>
      </c>
      <c r="AA32" s="20">
        <f t="shared" si="44"/>
        <v>188110.67475242721</v>
      </c>
      <c r="AB32" s="218">
        <f t="shared" si="31"/>
        <v>188110.67475242721</v>
      </c>
      <c r="AC32" s="218">
        <f t="shared" si="45"/>
        <v>32595.415920776708</v>
      </c>
      <c r="AD32" s="219">
        <f t="shared" si="32"/>
        <v>32595.415920776708</v>
      </c>
      <c r="AE32" s="219">
        <f t="shared" si="33"/>
        <v>67859.903516217048</v>
      </c>
      <c r="AF32" s="219">
        <f t="shared" si="46"/>
        <v>17199.960727718448</v>
      </c>
      <c r="AG32" s="219">
        <f t="shared" si="34"/>
        <v>5426.134582726233</v>
      </c>
    </row>
    <row r="33" spans="1:33" ht="15.75" customHeight="1" x14ac:dyDescent="0.25">
      <c r="A33" s="178">
        <v>2037</v>
      </c>
      <c r="B33" s="230">
        <v>10</v>
      </c>
      <c r="C33" s="230">
        <v>1</v>
      </c>
      <c r="D33" s="176">
        <f>D32*E33</f>
        <v>17468.997505597683</v>
      </c>
      <c r="E33" s="18">
        <v>1.0249999999999999</v>
      </c>
      <c r="F33" s="189">
        <v>12</v>
      </c>
      <c r="G33" s="231">
        <f>D33*C33*F33</f>
        <v>209627.97006717219</v>
      </c>
      <c r="H33" s="231">
        <f t="shared" si="26"/>
        <v>5135.8852666457187</v>
      </c>
      <c r="I33" s="231">
        <f t="shared" si="37"/>
        <v>35490.015332372255</v>
      </c>
      <c r="J33" s="231">
        <f t="shared" si="47"/>
        <v>3144.4195510075829</v>
      </c>
      <c r="K33" s="231">
        <f t="shared" si="38"/>
        <v>17383.782883619158</v>
      </c>
      <c r="L33" s="231">
        <f t="shared" si="27"/>
        <v>425.90268064866939</v>
      </c>
      <c r="M33" s="231">
        <f t="shared" si="48"/>
        <v>2943.0744421967238</v>
      </c>
      <c r="N33" s="231">
        <f t="shared" si="39"/>
        <v>260.75674325428736</v>
      </c>
      <c r="O33" s="232">
        <f t="shared" si="40"/>
        <v>274411.8069669166</v>
      </c>
      <c r="P33" s="177">
        <f t="shared" si="49"/>
        <v>3749.2298700038423</v>
      </c>
      <c r="Q33" s="235"/>
      <c r="R33" s="118">
        <f>R31*$E33*$E32</f>
        <v>842.01402679115802</v>
      </c>
      <c r="S33" s="118">
        <f>S31*$E33*$E32</f>
        <v>764.3092527605063</v>
      </c>
      <c r="T33" s="234">
        <f>SUM(P33:S33)</f>
        <v>5355.553149555506</v>
      </c>
      <c r="U33" s="217">
        <f t="shared" si="42"/>
        <v>279767.36011647212</v>
      </c>
      <c r="X33" s="20">
        <f t="shared" si="29"/>
        <v>227011.75295079136</v>
      </c>
      <c r="Y33" s="20">
        <f t="shared" si="43"/>
        <v>31123.311329553493</v>
      </c>
      <c r="Z33" s="20">
        <f t="shared" si="30"/>
        <v>3000</v>
      </c>
      <c r="AA33" s="20">
        <f t="shared" si="44"/>
        <v>192888.44162123787</v>
      </c>
      <c r="AB33" s="218">
        <f t="shared" si="31"/>
        <v>192888.44162123787</v>
      </c>
      <c r="AC33" s="218">
        <f t="shared" si="45"/>
        <v>34124.301318796119</v>
      </c>
      <c r="AD33" s="219">
        <f t="shared" si="32"/>
        <v>34124.301318796119</v>
      </c>
      <c r="AE33" s="219">
        <f t="shared" si="33"/>
        <v>69556.401104122473</v>
      </c>
      <c r="AF33" s="219">
        <f t="shared" si="46"/>
        <v>17629.959745911408</v>
      </c>
      <c r="AG33" s="219">
        <f t="shared" si="34"/>
        <v>5561.7879472943878</v>
      </c>
    </row>
    <row r="34" spans="1:33" ht="15.75" customHeight="1" x14ac:dyDescent="0.25">
      <c r="A34" s="238" t="s">
        <v>28</v>
      </c>
      <c r="B34" s="239"/>
      <c r="C34" s="239"/>
      <c r="D34" s="240"/>
      <c r="E34" s="241"/>
      <c r="F34" s="241"/>
      <c r="G34" s="242">
        <f>SUM(G23:G33)</f>
        <v>2046269.1853632643</v>
      </c>
      <c r="H34" s="242">
        <f t="shared" si="26"/>
        <v>50133.595041399974</v>
      </c>
      <c r="I34" s="242">
        <f t="shared" ref="I34" si="50">G34*17.19%</f>
        <v>351753.6729639452</v>
      </c>
      <c r="J34" s="242">
        <f>G34*1.5%</f>
        <v>30694.037780448962</v>
      </c>
      <c r="K34" s="242">
        <f>K23+K24+K25+K26+K27+K28+K29+K30+K31+K32+K33</f>
        <v>156114.50330016785</v>
      </c>
      <c r="L34" s="242">
        <f t="shared" si="27"/>
        <v>3824.8053308541125</v>
      </c>
      <c r="M34" s="242">
        <f t="shared" si="28"/>
        <v>26836.083117298858</v>
      </c>
      <c r="N34" s="242">
        <f>K34*1.5%</f>
        <v>2341.7175495025176</v>
      </c>
      <c r="O34" s="232">
        <f t="shared" si="40"/>
        <v>2667967.6004468813</v>
      </c>
      <c r="P34" s="243">
        <f>SUM(P23:P33)</f>
        <v>36597.852611815222</v>
      </c>
      <c r="Q34" s="234">
        <f>SUM(Q23:Q33)</f>
        <v>550</v>
      </c>
      <c r="R34" s="234">
        <f>SUM(R23:R33)</f>
        <v>3825.4530421858917</v>
      </c>
      <c r="S34" s="234">
        <f>SUM(S23:S33)</f>
        <v>4072.4233363260732</v>
      </c>
      <c r="T34" s="234">
        <f>P34+Q34+R34+S34</f>
        <v>45045.728990327189</v>
      </c>
      <c r="U34" s="217">
        <f t="shared" si="42"/>
        <v>2713013.3294372084</v>
      </c>
      <c r="X34" s="25">
        <f>SUM(X23:X33)</f>
        <v>2202383.6886634324</v>
      </c>
      <c r="Y34" s="25">
        <f>SUM(Y23:Y33)</f>
        <v>301946.80371575651</v>
      </c>
      <c r="AD34" s="221">
        <f>SUM(AD23:AD33)</f>
        <v>293979.80318325624</v>
      </c>
      <c r="AE34" s="221">
        <f t="shared" ref="AE34:AG34" si="51">SUM(AE23:AE33)</f>
        <v>674810.36220647569</v>
      </c>
      <c r="AF34" s="221">
        <f t="shared" si="51"/>
        <v>171039.31964529085</v>
      </c>
      <c r="AG34" s="221">
        <f t="shared" si="51"/>
        <v>53958.400372254095</v>
      </c>
    </row>
    <row r="35" spans="1:33" x14ac:dyDescent="0.25">
      <c r="A35" s="222"/>
      <c r="B35" s="222"/>
      <c r="C35" s="222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</row>
    <row r="36" spans="1:33" x14ac:dyDescent="0.25">
      <c r="A36" s="222"/>
      <c r="B36" s="222"/>
      <c r="C36" s="222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2"/>
      <c r="O36" s="222"/>
      <c r="P36" s="222"/>
      <c r="Q36" s="222"/>
      <c r="R36" s="222"/>
      <c r="S36" s="222"/>
      <c r="T36" s="222"/>
      <c r="U36" s="222"/>
    </row>
    <row r="37" spans="1:33" x14ac:dyDescent="0.25">
      <c r="A37" s="222"/>
      <c r="B37" s="222"/>
      <c r="C37" s="222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2"/>
      <c r="O37" s="222"/>
      <c r="P37" s="222"/>
      <c r="Q37" s="222"/>
      <c r="R37" s="222"/>
      <c r="S37" s="222"/>
      <c r="T37" s="222"/>
      <c r="U37" s="222"/>
    </row>
    <row r="38" spans="1:33" x14ac:dyDescent="0.25">
      <c r="A38" s="222"/>
      <c r="B38" s="222"/>
      <c r="C38" s="222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</row>
    <row r="39" spans="1:33" x14ac:dyDescent="0.25">
      <c r="A39" s="222"/>
      <c r="B39" s="222"/>
      <c r="C39" s="222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22"/>
      <c r="S39" s="222"/>
      <c r="T39" s="222"/>
      <c r="U39" s="222"/>
    </row>
    <row r="40" spans="1:33" x14ac:dyDescent="0.25">
      <c r="A40" s="222"/>
      <c r="B40" s="222"/>
      <c r="C40" s="222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2"/>
      <c r="R40" s="222"/>
      <c r="S40" s="222"/>
      <c r="T40" s="222"/>
      <c r="U40" s="222"/>
    </row>
    <row r="41" spans="1:33" x14ac:dyDescent="0.25">
      <c r="A41" s="222"/>
      <c r="B41" s="222"/>
      <c r="C41" s="222"/>
      <c r="D41" s="222"/>
      <c r="E41" s="222"/>
      <c r="F41" s="222"/>
      <c r="G41" s="222"/>
      <c r="H41" s="222"/>
      <c r="I41" s="222"/>
      <c r="J41" s="222"/>
      <c r="K41" s="222"/>
      <c r="L41" s="222"/>
      <c r="M41" s="222"/>
      <c r="N41" s="222"/>
      <c r="O41" s="222"/>
      <c r="P41" s="222"/>
      <c r="Q41" s="222"/>
      <c r="R41" s="222"/>
      <c r="S41" s="222"/>
      <c r="T41" s="222"/>
      <c r="U41" s="222"/>
    </row>
    <row r="42" spans="1:33" x14ac:dyDescent="0.25">
      <c r="A42" s="222"/>
      <c r="B42" s="222"/>
      <c r="C42" s="222"/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222"/>
      <c r="P42" s="222"/>
      <c r="Q42" s="222"/>
      <c r="R42" s="222"/>
      <c r="S42" s="222"/>
      <c r="T42" s="222"/>
      <c r="U42" s="222"/>
    </row>
    <row r="43" spans="1:33" ht="45.75" customHeight="1" x14ac:dyDescent="0.25">
      <c r="A43" s="285" t="s">
        <v>11</v>
      </c>
      <c r="B43" s="286"/>
      <c r="C43" s="287"/>
      <c r="D43" s="292" t="s">
        <v>12</v>
      </c>
      <c r="E43" s="293"/>
      <c r="F43" s="293"/>
      <c r="G43" s="293"/>
      <c r="H43" s="293"/>
      <c r="I43" s="293"/>
      <c r="J43" s="293"/>
      <c r="K43" s="293"/>
      <c r="L43" s="293"/>
      <c r="M43" s="293"/>
      <c r="N43" s="293"/>
      <c r="O43" s="294"/>
      <c r="P43" s="295" t="s">
        <v>13</v>
      </c>
      <c r="Q43" s="296"/>
      <c r="R43" s="296"/>
      <c r="S43" s="296"/>
      <c r="T43" s="297"/>
      <c r="U43" s="222"/>
      <c r="AB43" s="212"/>
      <c r="AC43" s="212"/>
      <c r="AD43" s="284" t="s">
        <v>172</v>
      </c>
      <c r="AE43" s="284"/>
      <c r="AF43" s="284"/>
      <c r="AG43" s="284"/>
    </row>
    <row r="44" spans="1:33" ht="209.25" customHeight="1" x14ac:dyDescent="0.25">
      <c r="A44" s="223"/>
      <c r="B44" s="223"/>
      <c r="C44" s="224" t="s">
        <v>14</v>
      </c>
      <c r="D44" s="244" t="s">
        <v>113</v>
      </c>
      <c r="E44" s="12" t="s">
        <v>74</v>
      </c>
      <c r="F44" s="12" t="s">
        <v>15</v>
      </c>
      <c r="G44" s="12" t="s">
        <v>16</v>
      </c>
      <c r="H44" s="12" t="s">
        <v>173</v>
      </c>
      <c r="I44" s="12" t="s">
        <v>18</v>
      </c>
      <c r="J44" s="12" t="s">
        <v>151</v>
      </c>
      <c r="K44" s="12" t="s">
        <v>19</v>
      </c>
      <c r="L44" s="12" t="s">
        <v>173</v>
      </c>
      <c r="M44" s="12" t="s">
        <v>18</v>
      </c>
      <c r="N44" s="12" t="s">
        <v>151</v>
      </c>
      <c r="O44" s="12" t="s">
        <v>20</v>
      </c>
      <c r="P44" s="226" t="s">
        <v>21</v>
      </c>
      <c r="Q44" s="227" t="s">
        <v>22</v>
      </c>
      <c r="R44" s="227" t="s">
        <v>23</v>
      </c>
      <c r="S44" s="227" t="s">
        <v>24</v>
      </c>
      <c r="T44" s="227" t="s">
        <v>25</v>
      </c>
      <c r="U44" s="228" t="s">
        <v>26</v>
      </c>
      <c r="X44" s="213" t="s">
        <v>174</v>
      </c>
      <c r="Y44" s="213" t="s">
        <v>175</v>
      </c>
      <c r="Z44" s="213" t="s">
        <v>176</v>
      </c>
      <c r="AA44" s="213" t="s">
        <v>177</v>
      </c>
      <c r="AB44" s="214" t="s">
        <v>178</v>
      </c>
      <c r="AC44" s="214" t="s">
        <v>179</v>
      </c>
      <c r="AD44" s="215" t="s">
        <v>180</v>
      </c>
      <c r="AE44" s="215" t="s">
        <v>181</v>
      </c>
      <c r="AF44" s="215" t="s">
        <v>182</v>
      </c>
      <c r="AG44" s="216" t="s">
        <v>173</v>
      </c>
    </row>
    <row r="45" spans="1:33" ht="15.75" customHeight="1" x14ac:dyDescent="0.25">
      <c r="A45" s="178">
        <v>2027</v>
      </c>
      <c r="B45" s="229" t="s">
        <v>27</v>
      </c>
      <c r="C45" s="230">
        <v>1</v>
      </c>
      <c r="D45" s="176">
        <v>25000</v>
      </c>
      <c r="E45" s="245">
        <v>0</v>
      </c>
      <c r="F45" s="189">
        <v>12</v>
      </c>
      <c r="G45" s="231">
        <f>C45*D45*F45</f>
        <v>300000</v>
      </c>
      <c r="H45" s="231">
        <f t="shared" ref="H45:H56" si="52">G45*2.45%</f>
        <v>7350</v>
      </c>
      <c r="I45" s="231">
        <f>G45*16.93%</f>
        <v>50790</v>
      </c>
      <c r="J45" s="231">
        <f>G45*1.5%</f>
        <v>4500</v>
      </c>
      <c r="K45" s="231">
        <v>0</v>
      </c>
      <c r="L45" s="231">
        <f t="shared" ref="L45:L55" si="53">K45*2.45%</f>
        <v>0</v>
      </c>
      <c r="M45" s="231">
        <f t="shared" ref="M45" si="54">K45*17.19%</f>
        <v>0</v>
      </c>
      <c r="N45" s="231">
        <f>K45*1.5%</f>
        <v>0</v>
      </c>
      <c r="O45" s="232">
        <f>SUM(G45:N45)</f>
        <v>362640</v>
      </c>
      <c r="P45" s="177">
        <f>2943.23*C45</f>
        <v>2943.23</v>
      </c>
      <c r="Q45" s="177">
        <f>C45*550</f>
        <v>550</v>
      </c>
      <c r="R45" s="233"/>
      <c r="S45" s="177">
        <f>C45*600</f>
        <v>600</v>
      </c>
      <c r="T45" s="234">
        <f>SUM(P45:S45)</f>
        <v>4093.23</v>
      </c>
      <c r="U45" s="217">
        <f>(O45+T45)</f>
        <v>366733.23</v>
      </c>
      <c r="X45" s="20">
        <f t="shared" ref="X45:X55" si="55">G45+K45</f>
        <v>300000</v>
      </c>
      <c r="Y45" s="20">
        <f>X45*13.71%</f>
        <v>41130</v>
      </c>
      <c r="Z45" s="20">
        <f t="shared" ref="Z45:Z55" si="56">F45*250*C45</f>
        <v>3000</v>
      </c>
      <c r="AA45" s="20">
        <f>X45-Y45-Z45</f>
        <v>255870</v>
      </c>
      <c r="AB45" s="218">
        <f t="shared" ref="AB45:AB55" si="57">AA45/C45</f>
        <v>255870</v>
      </c>
      <c r="AC45" s="218">
        <f>IF(AB45&lt;120000,((AB45*0.12)-3600),((10800+((AB45-120000)*0.32))))</f>
        <v>54278.400000000001</v>
      </c>
      <c r="AD45" s="219">
        <f t="shared" ref="AD45:AD55" si="58">AC45*C45</f>
        <v>54278.400000000001</v>
      </c>
      <c r="AE45" s="219">
        <f t="shared" ref="AE45:AE55" si="59">I45+M45+Y45</f>
        <v>91920</v>
      </c>
      <c r="AF45" s="219">
        <f>(X45-Y45)*0.09</f>
        <v>23298.3</v>
      </c>
      <c r="AG45" s="219">
        <f t="shared" ref="AG45:AG55" si="60">H45+L45</f>
        <v>7350</v>
      </c>
    </row>
    <row r="46" spans="1:33" ht="15.75" customHeight="1" x14ac:dyDescent="0.25">
      <c r="A46" s="178">
        <v>2028</v>
      </c>
      <c r="B46" s="230">
        <v>1</v>
      </c>
      <c r="C46" s="230">
        <v>1</v>
      </c>
      <c r="D46" s="176">
        <f t="shared" ref="D46:D54" si="61">D45*E46</f>
        <v>25600</v>
      </c>
      <c r="E46" s="245">
        <v>1.024</v>
      </c>
      <c r="F46" s="189">
        <v>12</v>
      </c>
      <c r="G46" s="231">
        <f t="shared" ref="G46:G55" si="62">C46*D46*F46</f>
        <v>307200</v>
      </c>
      <c r="H46" s="231">
        <f t="shared" si="52"/>
        <v>7526.4000000000005</v>
      </c>
      <c r="I46" s="231">
        <f t="shared" ref="I46:I55" si="63">G46*16.93%</f>
        <v>52008.959999999999</v>
      </c>
      <c r="J46" s="231">
        <f t="shared" ref="J46:J55" si="64">G46*1.5%</f>
        <v>4608</v>
      </c>
      <c r="K46" s="231">
        <f t="shared" ref="K46:K55" si="65">G45*8.5%</f>
        <v>25500.000000000004</v>
      </c>
      <c r="L46" s="231">
        <f t="shared" si="53"/>
        <v>624.75000000000011</v>
      </c>
      <c r="M46" s="231">
        <f>K46*16.93%</f>
        <v>4317.1500000000005</v>
      </c>
      <c r="N46" s="231">
        <f t="shared" ref="N46:N55" si="66">K46*1.5%</f>
        <v>382.50000000000006</v>
      </c>
      <c r="O46" s="232">
        <f t="shared" ref="O46:O56" si="67">SUM(G46:N46)</f>
        <v>402167.76000000007</v>
      </c>
      <c r="P46" s="177">
        <f>P45*E46</f>
        <v>3013.8675200000002</v>
      </c>
      <c r="Q46" s="235"/>
      <c r="R46" s="236"/>
      <c r="S46" s="237"/>
      <c r="T46" s="234">
        <f t="shared" ref="T46:T55" si="68">SUM(P46:S46)</f>
        <v>3013.8675200000002</v>
      </c>
      <c r="U46" s="217">
        <f t="shared" ref="U46:U56" si="69">O46+T46</f>
        <v>405181.6275200001</v>
      </c>
      <c r="X46" s="20">
        <f t="shared" si="55"/>
        <v>332700</v>
      </c>
      <c r="Y46" s="20">
        <f t="shared" ref="Y46:Y55" si="70">X46*13.71%</f>
        <v>45613.17</v>
      </c>
      <c r="Z46" s="20">
        <f t="shared" si="56"/>
        <v>3000</v>
      </c>
      <c r="AA46" s="20">
        <f t="shared" ref="AA46:AA55" si="71">X46-Y46-Z46</f>
        <v>284086.83</v>
      </c>
      <c r="AB46" s="218">
        <f t="shared" si="57"/>
        <v>284086.83</v>
      </c>
      <c r="AC46" s="218">
        <f t="shared" ref="AC46:AC55" si="72">IF(AB46&lt;120000,((AB46*0.12)-3600),((10800+((AB46-120000)*0.32))))</f>
        <v>63307.785600000003</v>
      </c>
      <c r="AD46" s="219">
        <f t="shared" si="58"/>
        <v>63307.785600000003</v>
      </c>
      <c r="AE46" s="219">
        <f t="shared" si="59"/>
        <v>101939.28</v>
      </c>
      <c r="AF46" s="219">
        <f t="shared" ref="AF46:AF55" si="73">(X46-Y46)*0.09</f>
        <v>25837.814699999999</v>
      </c>
      <c r="AG46" s="219">
        <f t="shared" si="60"/>
        <v>8151.1500000000005</v>
      </c>
    </row>
    <row r="47" spans="1:33" ht="15.75" customHeight="1" x14ac:dyDescent="0.25">
      <c r="A47" s="178">
        <v>2029</v>
      </c>
      <c r="B47" s="230">
        <v>2</v>
      </c>
      <c r="C47" s="230">
        <v>1</v>
      </c>
      <c r="D47" s="176">
        <f t="shared" si="61"/>
        <v>26214.400000000001</v>
      </c>
      <c r="E47" s="245">
        <v>1.024</v>
      </c>
      <c r="F47" s="189">
        <v>12</v>
      </c>
      <c r="G47" s="231">
        <f t="shared" si="62"/>
        <v>314572.80000000005</v>
      </c>
      <c r="H47" s="231">
        <f t="shared" si="52"/>
        <v>7707.0336000000016</v>
      </c>
      <c r="I47" s="231">
        <f t="shared" si="63"/>
        <v>53257.175040000009</v>
      </c>
      <c r="J47" s="231">
        <f t="shared" si="64"/>
        <v>4718.5920000000006</v>
      </c>
      <c r="K47" s="231">
        <f t="shared" si="65"/>
        <v>26112.000000000004</v>
      </c>
      <c r="L47" s="231">
        <f t="shared" si="53"/>
        <v>639.74400000000014</v>
      </c>
      <c r="M47" s="231">
        <f t="shared" ref="M47:M55" si="74">K47*16.93%</f>
        <v>4420.7616000000007</v>
      </c>
      <c r="N47" s="231">
        <f t="shared" si="66"/>
        <v>391.68000000000006</v>
      </c>
      <c r="O47" s="232">
        <f t="shared" si="67"/>
        <v>411819.7862400001</v>
      </c>
      <c r="P47" s="177">
        <f t="shared" ref="P47:P55" si="75">P46*E47</f>
        <v>3086.2003404800002</v>
      </c>
      <c r="Q47" s="235"/>
      <c r="R47" s="177">
        <f>661*$E46*$E47*$C47</f>
        <v>693.10873600000002</v>
      </c>
      <c r="S47" s="220">
        <f>S45*$E47*$E46</f>
        <v>629.14559999999994</v>
      </c>
      <c r="T47" s="234">
        <f t="shared" si="68"/>
        <v>4408.4546764800007</v>
      </c>
      <c r="U47" s="217">
        <f t="shared" si="69"/>
        <v>416228.24091648008</v>
      </c>
      <c r="X47" s="20">
        <f t="shared" si="55"/>
        <v>340684.80000000005</v>
      </c>
      <c r="Y47" s="20">
        <f t="shared" si="70"/>
        <v>46707.886080000004</v>
      </c>
      <c r="Z47" s="20">
        <f t="shared" si="56"/>
        <v>3000</v>
      </c>
      <c r="AA47" s="20">
        <f t="shared" si="71"/>
        <v>290976.91392000002</v>
      </c>
      <c r="AB47" s="218">
        <f t="shared" si="57"/>
        <v>290976.91392000002</v>
      </c>
      <c r="AC47" s="218">
        <f t="shared" si="72"/>
        <v>65512.612454400005</v>
      </c>
      <c r="AD47" s="219">
        <f t="shared" si="58"/>
        <v>65512.612454400005</v>
      </c>
      <c r="AE47" s="219">
        <f t="shared" si="59"/>
        <v>104385.82272000001</v>
      </c>
      <c r="AF47" s="219">
        <f t="shared" si="73"/>
        <v>26457.922252799999</v>
      </c>
      <c r="AG47" s="219">
        <f t="shared" si="60"/>
        <v>8346.7776000000013</v>
      </c>
    </row>
    <row r="48" spans="1:33" ht="15.75" customHeight="1" x14ac:dyDescent="0.25">
      <c r="A48" s="178">
        <v>2030</v>
      </c>
      <c r="B48" s="230">
        <v>3</v>
      </c>
      <c r="C48" s="230">
        <v>1</v>
      </c>
      <c r="D48" s="176">
        <f t="shared" si="61"/>
        <v>26791.116800000003</v>
      </c>
      <c r="E48" s="245">
        <v>1.022</v>
      </c>
      <c r="F48" s="189">
        <v>12</v>
      </c>
      <c r="G48" s="231">
        <f t="shared" si="62"/>
        <v>321493.40160000004</v>
      </c>
      <c r="H48" s="231">
        <f t="shared" si="52"/>
        <v>7876.5883392000014</v>
      </c>
      <c r="I48" s="231">
        <f t="shared" si="63"/>
        <v>54428.83289088001</v>
      </c>
      <c r="J48" s="231">
        <f t="shared" si="64"/>
        <v>4822.4010240000007</v>
      </c>
      <c r="K48" s="231">
        <f t="shared" si="65"/>
        <v>26738.688000000006</v>
      </c>
      <c r="L48" s="231">
        <f t="shared" si="53"/>
        <v>655.09785600000021</v>
      </c>
      <c r="M48" s="231">
        <f t="shared" si="74"/>
        <v>4526.8598784000014</v>
      </c>
      <c r="N48" s="231">
        <f t="shared" si="66"/>
        <v>401.08032000000009</v>
      </c>
      <c r="O48" s="232">
        <f t="shared" si="67"/>
        <v>420942.94990848011</v>
      </c>
      <c r="P48" s="177">
        <f t="shared" si="75"/>
        <v>3154.0967479705605</v>
      </c>
      <c r="Q48" s="235"/>
      <c r="R48" s="118"/>
      <c r="S48" s="118"/>
      <c r="T48" s="234">
        <f t="shared" si="68"/>
        <v>3154.0967479705605</v>
      </c>
      <c r="U48" s="217">
        <f t="shared" si="69"/>
        <v>424097.04665645066</v>
      </c>
      <c r="X48" s="20">
        <f t="shared" si="55"/>
        <v>348232.08960000006</v>
      </c>
      <c r="Y48" s="20">
        <f t="shared" si="70"/>
        <v>47742.619484160008</v>
      </c>
      <c r="Z48" s="20">
        <f t="shared" si="56"/>
        <v>3000</v>
      </c>
      <c r="AA48" s="20">
        <f t="shared" si="71"/>
        <v>297489.47011584009</v>
      </c>
      <c r="AB48" s="218">
        <f t="shared" si="57"/>
        <v>297489.47011584009</v>
      </c>
      <c r="AC48" s="218">
        <f t="shared" si="72"/>
        <v>67596.63043706883</v>
      </c>
      <c r="AD48" s="219">
        <f t="shared" si="58"/>
        <v>67596.63043706883</v>
      </c>
      <c r="AE48" s="219">
        <f t="shared" si="59"/>
        <v>106698.31225344002</v>
      </c>
      <c r="AF48" s="219">
        <f t="shared" si="73"/>
        <v>27044.052310425606</v>
      </c>
      <c r="AG48" s="219">
        <f t="shared" si="60"/>
        <v>8531.6861952000017</v>
      </c>
    </row>
    <row r="49" spans="1:33" ht="15.75" customHeight="1" x14ac:dyDescent="0.25">
      <c r="A49" s="178">
        <v>2031</v>
      </c>
      <c r="B49" s="230">
        <v>4</v>
      </c>
      <c r="C49" s="230">
        <v>1</v>
      </c>
      <c r="D49" s="176">
        <f t="shared" si="61"/>
        <v>27460.89472</v>
      </c>
      <c r="E49" s="245">
        <v>1.0249999999999999</v>
      </c>
      <c r="F49" s="189">
        <v>12</v>
      </c>
      <c r="G49" s="231">
        <f t="shared" si="62"/>
        <v>329530.73664000002</v>
      </c>
      <c r="H49" s="231">
        <f t="shared" si="52"/>
        <v>8073.5030476800011</v>
      </c>
      <c r="I49" s="231">
        <f t="shared" si="63"/>
        <v>55789.553713152003</v>
      </c>
      <c r="J49" s="231">
        <f t="shared" si="64"/>
        <v>4942.9610496000005</v>
      </c>
      <c r="K49" s="231">
        <f t="shared" si="65"/>
        <v>27326.939136000005</v>
      </c>
      <c r="L49" s="231">
        <f t="shared" si="53"/>
        <v>669.51000883200015</v>
      </c>
      <c r="M49" s="231">
        <f t="shared" si="74"/>
        <v>4626.4507957248006</v>
      </c>
      <c r="N49" s="231">
        <f t="shared" si="66"/>
        <v>409.90408704000004</v>
      </c>
      <c r="O49" s="232">
        <f t="shared" si="67"/>
        <v>431369.5584780288</v>
      </c>
      <c r="P49" s="177">
        <f t="shared" si="75"/>
        <v>3232.9491666698241</v>
      </c>
      <c r="Q49" s="235"/>
      <c r="R49" s="118">
        <f>R47*$E49*$E48</f>
        <v>726.06605639680004</v>
      </c>
      <c r="S49" s="118">
        <f>S47*$E49*$E48</f>
        <v>659.06147327999986</v>
      </c>
      <c r="T49" s="234">
        <f t="shared" si="68"/>
        <v>4618.076696346624</v>
      </c>
      <c r="U49" s="217">
        <f t="shared" si="69"/>
        <v>435987.63517437543</v>
      </c>
      <c r="X49" s="20">
        <f t="shared" si="55"/>
        <v>356857.67577600002</v>
      </c>
      <c r="Y49" s="20">
        <f t="shared" si="70"/>
        <v>48925.187348889602</v>
      </c>
      <c r="Z49" s="20">
        <f t="shared" si="56"/>
        <v>3000</v>
      </c>
      <c r="AA49" s="20">
        <f t="shared" si="71"/>
        <v>304932.48842711042</v>
      </c>
      <c r="AB49" s="218">
        <f t="shared" si="57"/>
        <v>304932.48842711042</v>
      </c>
      <c r="AC49" s="218">
        <f t="shared" si="72"/>
        <v>69978.396296675346</v>
      </c>
      <c r="AD49" s="219">
        <f t="shared" si="58"/>
        <v>69978.396296675346</v>
      </c>
      <c r="AE49" s="219">
        <f t="shared" si="59"/>
        <v>109341.1918577664</v>
      </c>
      <c r="AF49" s="219">
        <f t="shared" si="73"/>
        <v>27713.923958439937</v>
      </c>
      <c r="AG49" s="219">
        <f t="shared" si="60"/>
        <v>8743.0130565120016</v>
      </c>
    </row>
    <row r="50" spans="1:33" ht="15.75" customHeight="1" x14ac:dyDescent="0.25">
      <c r="A50" s="178">
        <v>2032</v>
      </c>
      <c r="B50" s="230">
        <v>5</v>
      </c>
      <c r="C50" s="230">
        <v>1</v>
      </c>
      <c r="D50" s="176">
        <f t="shared" si="61"/>
        <v>28147.417087999998</v>
      </c>
      <c r="E50" s="245">
        <v>1.0249999999999999</v>
      </c>
      <c r="F50" s="189">
        <v>12</v>
      </c>
      <c r="G50" s="231">
        <f t="shared" si="62"/>
        <v>337769.00505599997</v>
      </c>
      <c r="H50" s="231">
        <f t="shared" si="52"/>
        <v>8275.3406238719999</v>
      </c>
      <c r="I50" s="231">
        <f t="shared" si="63"/>
        <v>57184.292555980799</v>
      </c>
      <c r="J50" s="231">
        <f t="shared" si="64"/>
        <v>5066.5350758399991</v>
      </c>
      <c r="K50" s="231">
        <f t="shared" si="65"/>
        <v>28010.112614400005</v>
      </c>
      <c r="L50" s="231">
        <f t="shared" si="53"/>
        <v>686.24775905280012</v>
      </c>
      <c r="M50" s="231">
        <f t="shared" si="74"/>
        <v>4742.112065617921</v>
      </c>
      <c r="N50" s="231">
        <f t="shared" si="66"/>
        <v>420.15168921600008</v>
      </c>
      <c r="O50" s="232">
        <f t="shared" si="67"/>
        <v>442153.79743997951</v>
      </c>
      <c r="P50" s="177">
        <f t="shared" si="75"/>
        <v>3313.7728958365692</v>
      </c>
      <c r="Q50" s="235"/>
      <c r="R50" s="118"/>
      <c r="S50" s="118"/>
      <c r="T50" s="234">
        <f t="shared" si="68"/>
        <v>3313.7728958365692</v>
      </c>
      <c r="U50" s="217">
        <f t="shared" si="69"/>
        <v>445467.57033581607</v>
      </c>
      <c r="X50" s="20">
        <f t="shared" si="55"/>
        <v>365779.11767039995</v>
      </c>
      <c r="Y50" s="20">
        <f t="shared" si="70"/>
        <v>50148.317032611834</v>
      </c>
      <c r="Z50" s="20">
        <f t="shared" si="56"/>
        <v>3000</v>
      </c>
      <c r="AA50" s="20">
        <f t="shared" si="71"/>
        <v>312630.80063778814</v>
      </c>
      <c r="AB50" s="218">
        <f t="shared" si="57"/>
        <v>312630.80063778814</v>
      </c>
      <c r="AC50" s="218">
        <f t="shared" si="72"/>
        <v>72441.856204092212</v>
      </c>
      <c r="AD50" s="219">
        <f t="shared" si="58"/>
        <v>72441.856204092212</v>
      </c>
      <c r="AE50" s="219">
        <f t="shared" si="59"/>
        <v>112074.72165421056</v>
      </c>
      <c r="AF50" s="219">
        <f t="shared" si="73"/>
        <v>28406.772057400933</v>
      </c>
      <c r="AG50" s="219">
        <f t="shared" si="60"/>
        <v>8961.5883829247996</v>
      </c>
    </row>
    <row r="51" spans="1:33" ht="15.75" customHeight="1" x14ac:dyDescent="0.25">
      <c r="A51" s="178">
        <v>2033</v>
      </c>
      <c r="B51" s="230">
        <v>6</v>
      </c>
      <c r="C51" s="230">
        <v>1</v>
      </c>
      <c r="D51" s="176">
        <f t="shared" si="61"/>
        <v>28851.102515199997</v>
      </c>
      <c r="E51" s="245">
        <v>1.0249999999999999</v>
      </c>
      <c r="F51" s="189">
        <v>12</v>
      </c>
      <c r="G51" s="231">
        <f t="shared" si="62"/>
        <v>346213.23018239997</v>
      </c>
      <c r="H51" s="231">
        <f t="shared" si="52"/>
        <v>8482.224139468799</v>
      </c>
      <c r="I51" s="231">
        <f t="shared" si="63"/>
        <v>58613.899869880319</v>
      </c>
      <c r="J51" s="231">
        <f t="shared" si="64"/>
        <v>5193.1984527359991</v>
      </c>
      <c r="K51" s="231">
        <f t="shared" si="65"/>
        <v>28710.365429760001</v>
      </c>
      <c r="L51" s="231">
        <f t="shared" si="53"/>
        <v>703.40395302912009</v>
      </c>
      <c r="M51" s="231">
        <f t="shared" si="74"/>
        <v>4860.6648672583678</v>
      </c>
      <c r="N51" s="231">
        <f t="shared" si="66"/>
        <v>430.65548144640002</v>
      </c>
      <c r="O51" s="232">
        <f t="shared" si="67"/>
        <v>453207.64237597905</v>
      </c>
      <c r="P51" s="177">
        <f t="shared" si="75"/>
        <v>3396.6172182324831</v>
      </c>
      <c r="Q51" s="235"/>
      <c r="R51" s="118">
        <f>R49*$E51*$E50</f>
        <v>762.82315050188788</v>
      </c>
      <c r="S51" s="118">
        <f>S49*$E51*$E50</f>
        <v>692.42646036479971</v>
      </c>
      <c r="T51" s="234">
        <f t="shared" si="68"/>
        <v>4851.8668290991709</v>
      </c>
      <c r="U51" s="217">
        <f t="shared" si="69"/>
        <v>458059.50920507824</v>
      </c>
      <c r="X51" s="20">
        <f t="shared" si="55"/>
        <v>374923.59561215999</v>
      </c>
      <c r="Y51" s="20">
        <f t="shared" si="70"/>
        <v>51402.024958427137</v>
      </c>
      <c r="Z51" s="20">
        <f t="shared" si="56"/>
        <v>3000</v>
      </c>
      <c r="AA51" s="20">
        <f t="shared" si="71"/>
        <v>320521.57065373287</v>
      </c>
      <c r="AB51" s="218">
        <f t="shared" si="57"/>
        <v>320521.57065373287</v>
      </c>
      <c r="AC51" s="218">
        <f t="shared" si="72"/>
        <v>74966.902609194512</v>
      </c>
      <c r="AD51" s="219">
        <f t="shared" si="58"/>
        <v>74966.902609194512</v>
      </c>
      <c r="AE51" s="219">
        <f t="shared" si="59"/>
        <v>114876.58969556582</v>
      </c>
      <c r="AF51" s="219">
        <f t="shared" si="73"/>
        <v>29116.941358835957</v>
      </c>
      <c r="AG51" s="219">
        <f t="shared" si="60"/>
        <v>9185.6280924979183</v>
      </c>
    </row>
    <row r="52" spans="1:33" ht="15.75" customHeight="1" x14ac:dyDescent="0.25">
      <c r="A52" s="178">
        <v>2034</v>
      </c>
      <c r="B52" s="230">
        <v>7</v>
      </c>
      <c r="C52" s="230">
        <v>1</v>
      </c>
      <c r="D52" s="176">
        <f t="shared" si="61"/>
        <v>29572.380078079994</v>
      </c>
      <c r="E52" s="245">
        <v>1.0249999999999999</v>
      </c>
      <c r="F52" s="189">
        <v>12</v>
      </c>
      <c r="G52" s="231">
        <f t="shared" si="62"/>
        <v>354868.56093695993</v>
      </c>
      <c r="H52" s="231">
        <f t="shared" si="52"/>
        <v>8694.2797429555194</v>
      </c>
      <c r="I52" s="231">
        <f t="shared" si="63"/>
        <v>60079.247366627314</v>
      </c>
      <c r="J52" s="231">
        <f t="shared" si="64"/>
        <v>5323.028414054399</v>
      </c>
      <c r="K52" s="231">
        <f t="shared" si="65"/>
        <v>29428.124565504</v>
      </c>
      <c r="L52" s="231">
        <f t="shared" si="53"/>
        <v>720.98905185484807</v>
      </c>
      <c r="M52" s="231">
        <f t="shared" si="74"/>
        <v>4982.1814889398274</v>
      </c>
      <c r="N52" s="231">
        <f t="shared" si="66"/>
        <v>441.42186848256</v>
      </c>
      <c r="O52" s="232">
        <f t="shared" si="67"/>
        <v>464537.83343537844</v>
      </c>
      <c r="P52" s="177">
        <f t="shared" si="75"/>
        <v>3481.532648688295</v>
      </c>
      <c r="Q52" s="235"/>
      <c r="R52" s="118"/>
      <c r="S52" s="118"/>
      <c r="T52" s="234">
        <f t="shared" si="68"/>
        <v>3481.532648688295</v>
      </c>
      <c r="U52" s="217">
        <f t="shared" si="69"/>
        <v>468019.36608406674</v>
      </c>
      <c r="X52" s="20">
        <f t="shared" si="55"/>
        <v>384296.68550246395</v>
      </c>
      <c r="Y52" s="20">
        <f t="shared" si="70"/>
        <v>52687.075582387806</v>
      </c>
      <c r="Z52" s="20">
        <f t="shared" si="56"/>
        <v>3000</v>
      </c>
      <c r="AA52" s="20">
        <f t="shared" si="71"/>
        <v>328609.60992007615</v>
      </c>
      <c r="AB52" s="218">
        <f t="shared" si="57"/>
        <v>328609.60992007615</v>
      </c>
      <c r="AC52" s="218">
        <f t="shared" si="72"/>
        <v>77555.075174424375</v>
      </c>
      <c r="AD52" s="219">
        <f t="shared" si="58"/>
        <v>77555.075174424375</v>
      </c>
      <c r="AE52" s="219">
        <f t="shared" si="59"/>
        <v>117748.50443795495</v>
      </c>
      <c r="AF52" s="219">
        <f t="shared" si="73"/>
        <v>29844.864892806854</v>
      </c>
      <c r="AG52" s="219">
        <f t="shared" si="60"/>
        <v>9415.2687948103667</v>
      </c>
    </row>
    <row r="53" spans="1:33" ht="15.75" customHeight="1" x14ac:dyDescent="0.25">
      <c r="A53" s="178">
        <v>2035</v>
      </c>
      <c r="B53" s="230">
        <v>8</v>
      </c>
      <c r="C53" s="230">
        <v>1</v>
      </c>
      <c r="D53" s="176">
        <f t="shared" si="61"/>
        <v>30311.689580031991</v>
      </c>
      <c r="E53" s="245">
        <v>1.0249999999999999</v>
      </c>
      <c r="F53" s="189">
        <v>12</v>
      </c>
      <c r="G53" s="231">
        <f t="shared" si="62"/>
        <v>363740.27496038389</v>
      </c>
      <c r="H53" s="231">
        <f t="shared" si="52"/>
        <v>8911.6367365294063</v>
      </c>
      <c r="I53" s="231">
        <f t="shared" si="63"/>
        <v>61581.228550792992</v>
      </c>
      <c r="J53" s="231">
        <f t="shared" si="64"/>
        <v>5456.1041244057578</v>
      </c>
      <c r="K53" s="231">
        <f t="shared" si="65"/>
        <v>30163.827679641596</v>
      </c>
      <c r="L53" s="231">
        <f t="shared" si="53"/>
        <v>739.01377815121907</v>
      </c>
      <c r="M53" s="231">
        <f t="shared" si="74"/>
        <v>5106.7360261633221</v>
      </c>
      <c r="N53" s="231">
        <f t="shared" si="66"/>
        <v>452.45741519462393</v>
      </c>
      <c r="O53" s="232">
        <f t="shared" si="67"/>
        <v>476151.27927126287</v>
      </c>
      <c r="P53" s="177">
        <f t="shared" si="75"/>
        <v>3568.570964905502</v>
      </c>
      <c r="Q53" s="235"/>
      <c r="R53" s="118">
        <f>R51*$E53*$E52</f>
        <v>801.44107249604588</v>
      </c>
      <c r="S53" s="118">
        <f>S51*$E53*$E52</f>
        <v>727.48054992076754</v>
      </c>
      <c r="T53" s="234">
        <f t="shared" si="68"/>
        <v>5097.4925873223156</v>
      </c>
      <c r="U53" s="217">
        <f t="shared" si="69"/>
        <v>481248.77185858518</v>
      </c>
      <c r="X53" s="20">
        <f t="shared" si="55"/>
        <v>393904.10264002549</v>
      </c>
      <c r="Y53" s="20">
        <f t="shared" si="70"/>
        <v>54004.252471947497</v>
      </c>
      <c r="Z53" s="20">
        <f t="shared" si="56"/>
        <v>3000</v>
      </c>
      <c r="AA53" s="20">
        <f t="shared" si="71"/>
        <v>336899.85016807797</v>
      </c>
      <c r="AB53" s="218">
        <f t="shared" si="57"/>
        <v>336899.85016807797</v>
      </c>
      <c r="AC53" s="218">
        <f t="shared" si="72"/>
        <v>80207.952053784946</v>
      </c>
      <c r="AD53" s="219">
        <f t="shared" si="58"/>
        <v>80207.952053784946</v>
      </c>
      <c r="AE53" s="219">
        <f t="shared" si="59"/>
        <v>120692.21704890381</v>
      </c>
      <c r="AF53" s="219">
        <f t="shared" si="73"/>
        <v>30590.986515127017</v>
      </c>
      <c r="AG53" s="219">
        <f t="shared" si="60"/>
        <v>9650.6505146806248</v>
      </c>
    </row>
    <row r="54" spans="1:33" ht="15.75" customHeight="1" x14ac:dyDescent="0.25">
      <c r="A54" s="178">
        <v>2036</v>
      </c>
      <c r="B54" s="230">
        <v>9</v>
      </c>
      <c r="C54" s="230">
        <v>1</v>
      </c>
      <c r="D54" s="176">
        <f t="shared" si="61"/>
        <v>31069.481819532786</v>
      </c>
      <c r="E54" s="245">
        <v>1.0249999999999999</v>
      </c>
      <c r="F54" s="189">
        <v>12</v>
      </c>
      <c r="G54" s="231">
        <f t="shared" si="62"/>
        <v>372833.78183439345</v>
      </c>
      <c r="H54" s="231">
        <f t="shared" si="52"/>
        <v>9134.4276549426395</v>
      </c>
      <c r="I54" s="231">
        <f t="shared" si="63"/>
        <v>63120.75926456281</v>
      </c>
      <c r="J54" s="231">
        <f t="shared" si="64"/>
        <v>5592.5067275159017</v>
      </c>
      <c r="K54" s="231">
        <f t="shared" si="65"/>
        <v>30917.923371632634</v>
      </c>
      <c r="L54" s="231">
        <f t="shared" si="53"/>
        <v>757.48912260499958</v>
      </c>
      <c r="M54" s="231">
        <f t="shared" si="74"/>
        <v>5234.4044268174048</v>
      </c>
      <c r="N54" s="231">
        <f t="shared" si="66"/>
        <v>463.76885057448948</v>
      </c>
      <c r="O54" s="232">
        <f t="shared" si="67"/>
        <v>488055.06125304435</v>
      </c>
      <c r="P54" s="177">
        <f t="shared" si="75"/>
        <v>3657.7852390281391</v>
      </c>
      <c r="Q54" s="235"/>
      <c r="R54" s="118"/>
      <c r="S54" s="118"/>
      <c r="T54" s="234">
        <f t="shared" si="68"/>
        <v>3657.7852390281391</v>
      </c>
      <c r="U54" s="217">
        <f t="shared" si="69"/>
        <v>491712.84649207251</v>
      </c>
      <c r="X54" s="20">
        <f t="shared" si="55"/>
        <v>403751.70520602609</v>
      </c>
      <c r="Y54" s="20">
        <f t="shared" si="70"/>
        <v>55354.358783746175</v>
      </c>
      <c r="Z54" s="20">
        <f t="shared" si="56"/>
        <v>3000</v>
      </c>
      <c r="AA54" s="20">
        <f t="shared" si="71"/>
        <v>345397.34642227989</v>
      </c>
      <c r="AB54" s="218">
        <f t="shared" si="57"/>
        <v>345397.34642227989</v>
      </c>
      <c r="AC54" s="218">
        <f t="shared" si="72"/>
        <v>82927.15085512957</v>
      </c>
      <c r="AD54" s="219">
        <f t="shared" si="58"/>
        <v>82927.15085512957</v>
      </c>
      <c r="AE54" s="219">
        <f t="shared" si="59"/>
        <v>123709.5224751264</v>
      </c>
      <c r="AF54" s="219">
        <f t="shared" si="73"/>
        <v>31355.761178005188</v>
      </c>
      <c r="AG54" s="219">
        <f t="shared" si="60"/>
        <v>9891.9167775476399</v>
      </c>
    </row>
    <row r="55" spans="1:33" ht="15.75" customHeight="1" x14ac:dyDescent="0.25">
      <c r="A55" s="178">
        <v>2037</v>
      </c>
      <c r="B55" s="230">
        <v>10</v>
      </c>
      <c r="C55" s="230">
        <v>1</v>
      </c>
      <c r="D55" s="176">
        <f>D54*E55</f>
        <v>31846.218865021103</v>
      </c>
      <c r="E55" s="245">
        <v>1.0249999999999999</v>
      </c>
      <c r="F55" s="189">
        <v>12</v>
      </c>
      <c r="G55" s="231">
        <f t="shared" si="62"/>
        <v>382154.62638025323</v>
      </c>
      <c r="H55" s="231">
        <f t="shared" si="52"/>
        <v>9362.7883463162052</v>
      </c>
      <c r="I55" s="231">
        <f t="shared" si="63"/>
        <v>64698.778246176873</v>
      </c>
      <c r="J55" s="231">
        <f t="shared" si="64"/>
        <v>5732.3193957037984</v>
      </c>
      <c r="K55" s="231">
        <f t="shared" si="65"/>
        <v>31690.871455923447</v>
      </c>
      <c r="L55" s="231">
        <f t="shared" si="53"/>
        <v>776.42635067012452</v>
      </c>
      <c r="M55" s="231">
        <f t="shared" si="74"/>
        <v>5365.2645374878393</v>
      </c>
      <c r="N55" s="231">
        <f t="shared" si="66"/>
        <v>475.36307183885168</v>
      </c>
      <c r="O55" s="232">
        <f t="shared" si="67"/>
        <v>500256.43778437033</v>
      </c>
      <c r="P55" s="177">
        <f t="shared" si="75"/>
        <v>3749.2298700038423</v>
      </c>
      <c r="Q55" s="235"/>
      <c r="R55" s="118">
        <f>R53*$E55*$E54</f>
        <v>842.01402679115802</v>
      </c>
      <c r="S55" s="118">
        <f>S53*$E55*$E54</f>
        <v>764.3092527605063</v>
      </c>
      <c r="T55" s="234">
        <f t="shared" si="68"/>
        <v>5355.553149555506</v>
      </c>
      <c r="U55" s="217">
        <f t="shared" si="69"/>
        <v>505611.99093392584</v>
      </c>
      <c r="X55" s="20">
        <f t="shared" si="55"/>
        <v>413845.49783617666</v>
      </c>
      <c r="Y55" s="20">
        <f t="shared" si="70"/>
        <v>56738.217753339821</v>
      </c>
      <c r="Z55" s="20">
        <f t="shared" si="56"/>
        <v>3000</v>
      </c>
      <c r="AA55" s="20">
        <f t="shared" si="71"/>
        <v>354107.28008283686</v>
      </c>
      <c r="AB55" s="218">
        <f t="shared" si="57"/>
        <v>354107.28008283686</v>
      </c>
      <c r="AC55" s="218">
        <f t="shared" si="72"/>
        <v>85714.329626507795</v>
      </c>
      <c r="AD55" s="219">
        <f t="shared" si="58"/>
        <v>85714.329626507795</v>
      </c>
      <c r="AE55" s="219">
        <f t="shared" si="59"/>
        <v>126802.26053700453</v>
      </c>
      <c r="AF55" s="219">
        <f t="shared" si="73"/>
        <v>32139.655207455318</v>
      </c>
      <c r="AG55" s="219">
        <f t="shared" si="60"/>
        <v>10139.21469698633</v>
      </c>
    </row>
    <row r="56" spans="1:33" ht="15.75" customHeight="1" x14ac:dyDescent="0.25">
      <c r="A56" s="238" t="s">
        <v>28</v>
      </c>
      <c r="B56" s="239"/>
      <c r="C56" s="239"/>
      <c r="D56" s="240"/>
      <c r="E56" s="241"/>
      <c r="F56" s="241"/>
      <c r="G56" s="242">
        <f>SUM(G45:G55)</f>
        <v>3730376.41759039</v>
      </c>
      <c r="H56" s="242">
        <f t="shared" si="52"/>
        <v>91394.222230964559</v>
      </c>
      <c r="I56" s="242">
        <f t="shared" ref="I56" si="76">G56*17.19%</f>
        <v>641251.70618378813</v>
      </c>
      <c r="J56" s="242">
        <f>G56*1.5%</f>
        <v>55955.646263855844</v>
      </c>
      <c r="K56" s="242">
        <f>K45+K46+K47+K48+K49+K50+K51+K52+K53+K54+K55</f>
        <v>284598.85225286172</v>
      </c>
      <c r="L56" s="242">
        <f>K56*2.45%</f>
        <v>6972.671880195112</v>
      </c>
      <c r="M56" s="242">
        <f>K56*17.19%</f>
        <v>48922.542702266939</v>
      </c>
      <c r="N56" s="242">
        <f>K56*1.5%</f>
        <v>4268.9827837929261</v>
      </c>
      <c r="O56" s="232">
        <f t="shared" si="67"/>
        <v>4863741.0418881141</v>
      </c>
      <c r="P56" s="243">
        <f>SUM(P45:P55)</f>
        <v>36597.852611815222</v>
      </c>
      <c r="Q56" s="234">
        <f>SUM(Q45:Q55)</f>
        <v>550</v>
      </c>
      <c r="R56" s="234">
        <f>SUM(R45:R55)</f>
        <v>3825.4530421858917</v>
      </c>
      <c r="S56" s="234">
        <f>SUM(S45:S55)</f>
        <v>4072.4233363260732</v>
      </c>
      <c r="T56" s="234">
        <f>P56+Q56+R56+S56</f>
        <v>45045.728990327189</v>
      </c>
      <c r="U56" s="217">
        <f t="shared" si="69"/>
        <v>4908786.7708784416</v>
      </c>
      <c r="X56" s="25">
        <f>SUM(X45:X55)</f>
        <v>4014975.2698432519</v>
      </c>
      <c r="Y56" s="25">
        <f>SUM(Y45:Y55)</f>
        <v>550453.10949550988</v>
      </c>
      <c r="AD56" s="221">
        <f>SUM(AD45:AD55)</f>
        <v>794487.09131127771</v>
      </c>
      <c r="AE56" s="221">
        <f t="shared" ref="AE56:AG56" si="77">SUM(AE45:AE55)</f>
        <v>1230188.4226799726</v>
      </c>
      <c r="AF56" s="221">
        <f t="shared" si="77"/>
        <v>311806.99443129683</v>
      </c>
      <c r="AG56" s="221">
        <f t="shared" si="77"/>
        <v>98366.89411115968</v>
      </c>
    </row>
  </sheetData>
  <mergeCells count="12">
    <mergeCell ref="AD3:AG3"/>
    <mergeCell ref="A21:C21"/>
    <mergeCell ref="AD21:AG21"/>
    <mergeCell ref="A43:C43"/>
    <mergeCell ref="AD43:AG43"/>
    <mergeCell ref="A3:C3"/>
    <mergeCell ref="D3:O3"/>
    <mergeCell ref="P3:T3"/>
    <mergeCell ref="D43:O43"/>
    <mergeCell ref="P43:T43"/>
    <mergeCell ref="D21:O21"/>
    <mergeCell ref="P21:T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5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A11" sqref="A11"/>
    </sheetView>
  </sheetViews>
  <sheetFormatPr defaultColWidth="8.85546875" defaultRowHeight="15" x14ac:dyDescent="0.25"/>
  <cols>
    <col min="1" max="1" width="72.85546875" style="28" customWidth="1"/>
    <col min="2" max="2" width="29.42578125" style="5" customWidth="1"/>
    <col min="3" max="3" width="9.85546875" style="164" customWidth="1"/>
    <col min="4" max="4" width="11.85546875" style="43" bestFit="1" customWidth="1"/>
    <col min="5" max="6" width="14.140625" style="6" customWidth="1"/>
    <col min="7" max="16" width="11.42578125" style="5" bestFit="1" customWidth="1"/>
    <col min="17" max="16384" width="8.85546875" style="5"/>
  </cols>
  <sheetData>
    <row r="1" spans="1:16" x14ac:dyDescent="0.25">
      <c r="E1" s="299" t="s">
        <v>43</v>
      </c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</row>
    <row r="2" spans="1:16" x14ac:dyDescent="0.25">
      <c r="A2" s="90" t="s">
        <v>9</v>
      </c>
      <c r="B2" s="8" t="s">
        <v>10</v>
      </c>
      <c r="C2" s="165" t="s">
        <v>72</v>
      </c>
      <c r="D2" s="8" t="s">
        <v>73</v>
      </c>
      <c r="E2" s="7">
        <v>0</v>
      </c>
      <c r="F2" s="7" t="s">
        <v>141</v>
      </c>
      <c r="G2" s="7">
        <v>1</v>
      </c>
      <c r="H2" s="7">
        <v>2</v>
      </c>
      <c r="I2" s="7">
        <v>3</v>
      </c>
      <c r="J2" s="7">
        <v>4</v>
      </c>
      <c r="K2" s="7">
        <v>5</v>
      </c>
      <c r="L2" s="7">
        <v>6</v>
      </c>
      <c r="M2" s="7">
        <v>7</v>
      </c>
      <c r="N2" s="7">
        <v>8</v>
      </c>
      <c r="O2" s="7">
        <v>9</v>
      </c>
      <c r="P2" s="7">
        <v>10</v>
      </c>
    </row>
    <row r="3" spans="1:16" s="132" customFormat="1" x14ac:dyDescent="0.25">
      <c r="A3" s="129"/>
      <c r="B3" s="130"/>
      <c r="C3" s="166"/>
      <c r="D3" s="130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</row>
    <row r="4" spans="1:16" s="132" customFormat="1" x14ac:dyDescent="0.25">
      <c r="A4" s="133" t="s">
        <v>132</v>
      </c>
      <c r="B4" s="134"/>
      <c r="C4" s="180"/>
      <c r="D4" s="181"/>
      <c r="E4" s="134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</row>
    <row r="5" spans="1:16" ht="30" x14ac:dyDescent="0.25">
      <c r="A5" s="135" t="s">
        <v>115</v>
      </c>
      <c r="B5" s="136" t="s">
        <v>57</v>
      </c>
      <c r="C5" s="167">
        <v>1</v>
      </c>
      <c r="D5" s="266">
        <f>10324.63+15000</f>
        <v>25324.629999999997</v>
      </c>
      <c r="E5" s="137">
        <f>C5*D5</f>
        <v>25324.629999999997</v>
      </c>
      <c r="F5" s="137">
        <f>E5</f>
        <v>25324.629999999997</v>
      </c>
      <c r="G5" s="138">
        <f>E5*(1+'Panel kontrolny'!B$26)*0.2</f>
        <v>5191.5491499999989</v>
      </c>
      <c r="H5" s="138">
        <f>G5*(1+'Panel kontrolny'!C$26)</f>
        <v>5321.3378787499987</v>
      </c>
      <c r="I5" s="138">
        <f>H5*(1+'Panel kontrolny'!D$26)</f>
        <v>5449.0499878399987</v>
      </c>
      <c r="J5" s="138">
        <f>I5*(1+'Panel kontrolny'!E$26)</f>
        <v>5579.8271875481587</v>
      </c>
      <c r="K5" s="138">
        <f>J5*(1+'Panel kontrolny'!F$26)</f>
        <v>5702.5833856742183</v>
      </c>
      <c r="L5" s="138">
        <f>K5*(1+'Panel kontrolny'!G$26)</f>
        <v>5845.147970316073</v>
      </c>
      <c r="M5" s="138">
        <f>L5*(1+'Panel kontrolny'!H$26)</f>
        <v>5991.2766695739747</v>
      </c>
      <c r="N5" s="138">
        <f>M5*(1+'Panel kontrolny'!I$26)</f>
        <v>6141.0585863133238</v>
      </c>
      <c r="O5" s="138">
        <f>N5*(1+'Panel kontrolny'!J$26)</f>
        <v>6294.5850509711563</v>
      </c>
      <c r="P5" s="138">
        <f>O5*(1+'Panel kontrolny'!K$26)</f>
        <v>6451.9496772454349</v>
      </c>
    </row>
    <row r="6" spans="1:16" s="43" customFormat="1" x14ac:dyDescent="0.25">
      <c r="A6" s="139" t="s">
        <v>129</v>
      </c>
      <c r="B6" s="140" t="s">
        <v>130</v>
      </c>
      <c r="C6" s="167">
        <v>1</v>
      </c>
      <c r="D6" s="208">
        <v>2200</v>
      </c>
      <c r="E6" s="137">
        <f>C6*D6</f>
        <v>2200</v>
      </c>
      <c r="F6" s="137">
        <f t="shared" ref="F6:F47" si="0">E6</f>
        <v>2200</v>
      </c>
      <c r="G6" s="138">
        <v>0</v>
      </c>
      <c r="H6" s="138">
        <f>G6*(1+'Panel kontrolny'!C$26)</f>
        <v>0</v>
      </c>
      <c r="I6" s="138">
        <f>H6*(1+'Panel kontrolny'!D$26)</f>
        <v>0</v>
      </c>
      <c r="J6" s="138">
        <f>I6*(1+'Panel kontrolny'!E$26)</f>
        <v>0</v>
      </c>
      <c r="K6" s="138">
        <f>J6*(1+'Panel kontrolny'!F$26)</f>
        <v>0</v>
      </c>
      <c r="L6" s="138">
        <f>K6*(1+'Panel kontrolny'!G$26)</f>
        <v>0</v>
      </c>
      <c r="M6" s="138">
        <f>L6*(1+'Panel kontrolny'!H$26)</f>
        <v>0</v>
      </c>
      <c r="N6" s="138">
        <f>M6*(1+'Panel kontrolny'!I$26)</f>
        <v>0</v>
      </c>
      <c r="O6" s="138">
        <f>N6*(1+'Panel kontrolny'!J$26)</f>
        <v>0</v>
      </c>
      <c r="P6" s="138">
        <f>O6*(1+'Panel kontrolny'!K$26)</f>
        <v>0</v>
      </c>
    </row>
    <row r="7" spans="1:16" s="43" customFormat="1" x14ac:dyDescent="0.25">
      <c r="A7" s="139" t="s">
        <v>80</v>
      </c>
      <c r="B7" s="136" t="s">
        <v>81</v>
      </c>
      <c r="C7" s="167">
        <v>1</v>
      </c>
      <c r="D7" s="141">
        <v>2400</v>
      </c>
      <c r="E7" s="137">
        <f>C7*D7</f>
        <v>2400</v>
      </c>
      <c r="F7" s="137">
        <f t="shared" si="0"/>
        <v>2400</v>
      </c>
      <c r="G7" s="138">
        <f>E7*(1+'Panel kontrolny'!B$26)*0.2</f>
        <v>492</v>
      </c>
      <c r="H7" s="138">
        <f>G7*(1+'Panel kontrolny'!C$26)</f>
        <v>504.29999999999995</v>
      </c>
      <c r="I7" s="138">
        <f>H7*(1+'Panel kontrolny'!D$26)</f>
        <v>516.40319999999997</v>
      </c>
      <c r="J7" s="138">
        <f>I7*(1+'Panel kontrolny'!E$26)</f>
        <v>528.79687679999995</v>
      </c>
      <c r="K7" s="138">
        <f>J7*(1+'Panel kontrolny'!F$26)</f>
        <v>540.43040808959995</v>
      </c>
      <c r="L7" s="138">
        <f>K7*(1+'Panel kontrolny'!G$26)</f>
        <v>553.94116829183986</v>
      </c>
      <c r="M7" s="138">
        <f>L7*(1+'Panel kontrolny'!H$26)</f>
        <v>567.78969749913585</v>
      </c>
      <c r="N7" s="138">
        <f>M7*(1+'Panel kontrolny'!I$26)</f>
        <v>581.98443993661419</v>
      </c>
      <c r="O7" s="138">
        <f>N7*(1+'Panel kontrolny'!J$26)</f>
        <v>596.53405093502954</v>
      </c>
      <c r="P7" s="138">
        <f>O7*(1+'Panel kontrolny'!K$26)</f>
        <v>611.44740220840526</v>
      </c>
    </row>
    <row r="8" spans="1:16" x14ac:dyDescent="0.25">
      <c r="A8" s="142" t="s">
        <v>131</v>
      </c>
      <c r="B8" s="143"/>
      <c r="C8" s="180"/>
      <c r="D8" s="181"/>
      <c r="E8" s="144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</row>
    <row r="9" spans="1:16" s="43" customFormat="1" ht="30" x14ac:dyDescent="0.25">
      <c r="A9" s="135" t="s">
        <v>126</v>
      </c>
      <c r="B9" s="136" t="s">
        <v>57</v>
      </c>
      <c r="C9" s="167">
        <f>'Panel kontrolny'!$U$5</f>
        <v>1</v>
      </c>
      <c r="D9" s="266">
        <v>10324.629999999999</v>
      </c>
      <c r="E9" s="137">
        <f>C9*D9</f>
        <v>10324.629999999999</v>
      </c>
      <c r="F9" s="137">
        <f t="shared" si="0"/>
        <v>10324.629999999999</v>
      </c>
      <c r="G9" s="138">
        <f>E9*(1+'Panel kontrolny'!B$26)*0.2</f>
        <v>2116.5491499999998</v>
      </c>
      <c r="H9" s="138">
        <f>G9*(1+'Panel kontrolny'!C$26)</f>
        <v>2169.4628787499996</v>
      </c>
      <c r="I9" s="138">
        <f>H9*(1+'Panel kontrolny'!D$26)</f>
        <v>2221.5299878399996</v>
      </c>
      <c r="J9" s="138">
        <f>I9*(1+'Panel kontrolny'!E$26)</f>
        <v>2274.8467075481599</v>
      </c>
      <c r="K9" s="138">
        <f>J9*(1+'Panel kontrolny'!F$26)</f>
        <v>2324.8933351142196</v>
      </c>
      <c r="L9" s="138">
        <f>K9*(1+'Panel kontrolny'!G$26)</f>
        <v>2383.0156684920748</v>
      </c>
      <c r="M9" s="138">
        <f>L9*(1+'Panel kontrolny'!H$26)</f>
        <v>2442.5910602043764</v>
      </c>
      <c r="N9" s="138">
        <f>M9*(1+'Panel kontrolny'!I$26)</f>
        <v>2503.6558367094854</v>
      </c>
      <c r="O9" s="138">
        <f>N9*(1+'Panel kontrolny'!J$26)</f>
        <v>2566.2472326272223</v>
      </c>
      <c r="P9" s="138">
        <f>O9*(1+'Panel kontrolny'!K$26)</f>
        <v>2630.4034134429025</v>
      </c>
    </row>
    <row r="10" spans="1:16" s="43" customFormat="1" ht="30" x14ac:dyDescent="0.25">
      <c r="A10" s="146" t="s">
        <v>188</v>
      </c>
      <c r="B10" s="140" t="s">
        <v>57</v>
      </c>
      <c r="C10" s="167">
        <f>'Panel kontrolny'!$U$5</f>
        <v>1</v>
      </c>
      <c r="D10" s="206">
        <v>15000</v>
      </c>
      <c r="E10" s="137">
        <f>C10*D10</f>
        <v>15000</v>
      </c>
      <c r="F10" s="137">
        <f t="shared" si="0"/>
        <v>15000</v>
      </c>
      <c r="G10" s="138">
        <f>E10*(1+'Panel kontrolny'!B$26)*0.2</f>
        <v>3075</v>
      </c>
      <c r="H10" s="138">
        <f>G10*(1+'Panel kontrolny'!C$26)</f>
        <v>3151.8749999999995</v>
      </c>
      <c r="I10" s="138">
        <f>H10*(1+'Panel kontrolny'!D$26)</f>
        <v>3227.5199999999995</v>
      </c>
      <c r="J10" s="138">
        <f>I10*(1+'Panel kontrolny'!E$26)</f>
        <v>3304.9804799999997</v>
      </c>
      <c r="K10" s="138">
        <f>J10*(1+'Panel kontrolny'!F$26)</f>
        <v>3377.6900505599997</v>
      </c>
      <c r="L10" s="138">
        <f>K10*(1+'Panel kontrolny'!G$26)</f>
        <v>3462.1323018239996</v>
      </c>
      <c r="M10" s="138">
        <f>L10*(1+'Panel kontrolny'!H$26)</f>
        <v>3548.6856093695992</v>
      </c>
      <c r="N10" s="138">
        <f>M10*(1+'Panel kontrolny'!I$26)</f>
        <v>3637.4027496038389</v>
      </c>
      <c r="O10" s="138">
        <f>N10*(1+'Panel kontrolny'!J$26)</f>
        <v>3728.3378183439345</v>
      </c>
      <c r="P10" s="138">
        <f>O10*(1+'Panel kontrolny'!K$26)</f>
        <v>3821.5462638025324</v>
      </c>
    </row>
    <row r="11" spans="1:16" s="43" customFormat="1" x14ac:dyDescent="0.25">
      <c r="A11" s="146" t="s">
        <v>121</v>
      </c>
      <c r="B11" s="140" t="s">
        <v>130</v>
      </c>
      <c r="C11" s="167">
        <f>'Panel kontrolny'!$U$5</f>
        <v>1</v>
      </c>
      <c r="D11" s="206">
        <v>2500</v>
      </c>
      <c r="E11" s="137">
        <f>C11*D11</f>
        <v>2500</v>
      </c>
      <c r="F11" s="137">
        <f t="shared" si="0"/>
        <v>2500</v>
      </c>
      <c r="G11" s="137">
        <v>0</v>
      </c>
      <c r="H11" s="138">
        <f>G11*(1+'Panel kontrolny'!C$26)</f>
        <v>0</v>
      </c>
      <c r="I11" s="138">
        <f>H11*(1+'Panel kontrolny'!D$26)</f>
        <v>0</v>
      </c>
      <c r="J11" s="138">
        <f>I11*(1+'Panel kontrolny'!E$26)</f>
        <v>0</v>
      </c>
      <c r="K11" s="138">
        <f>J11*(1+'Panel kontrolny'!F$26)</f>
        <v>0</v>
      </c>
      <c r="L11" s="138">
        <f>K11*(1+'Panel kontrolny'!G$26)</f>
        <v>0</v>
      </c>
      <c r="M11" s="138">
        <f>L11*(1+'Panel kontrolny'!H$26)</f>
        <v>0</v>
      </c>
      <c r="N11" s="138">
        <f>M11*(1+'Panel kontrolny'!I$26)</f>
        <v>0</v>
      </c>
      <c r="O11" s="138">
        <f>N11*(1+'Panel kontrolny'!J$26)</f>
        <v>0</v>
      </c>
      <c r="P11" s="138">
        <f>O11*(1+'Panel kontrolny'!K$26)</f>
        <v>0</v>
      </c>
    </row>
    <row r="12" spans="1:16" s="43" customFormat="1" x14ac:dyDescent="0.25">
      <c r="A12" s="146" t="s">
        <v>58</v>
      </c>
      <c r="B12" s="140" t="s">
        <v>57</v>
      </c>
      <c r="C12" s="167">
        <f>'Panel kontrolny'!$U$5</f>
        <v>1</v>
      </c>
      <c r="D12" s="206">
        <v>4000</v>
      </c>
      <c r="E12" s="137">
        <f>C12*D12</f>
        <v>4000</v>
      </c>
      <c r="F12" s="137">
        <f t="shared" si="0"/>
        <v>4000</v>
      </c>
      <c r="G12" s="138">
        <f>E12*(1+'Panel kontrolny'!B$26)*0.2</f>
        <v>820</v>
      </c>
      <c r="H12" s="138">
        <f>G12*(1+'Panel kontrolny'!C$26)</f>
        <v>840.49999999999989</v>
      </c>
      <c r="I12" s="138">
        <f>H12*(1+'Panel kontrolny'!D$26)</f>
        <v>860.67199999999991</v>
      </c>
      <c r="J12" s="138">
        <f>I12*(1+'Panel kontrolny'!E$26)</f>
        <v>881.32812799999988</v>
      </c>
      <c r="K12" s="138">
        <f>J12*(1+'Panel kontrolny'!F$26)</f>
        <v>900.71734681599992</v>
      </c>
      <c r="L12" s="138">
        <f>K12*(1+'Panel kontrolny'!G$26)</f>
        <v>923.2352804863998</v>
      </c>
      <c r="M12" s="138">
        <f>L12*(1+'Panel kontrolny'!H$26)</f>
        <v>946.31616249855972</v>
      </c>
      <c r="N12" s="138">
        <f>M12*(1+'Panel kontrolny'!I$26)</f>
        <v>969.97406656102362</v>
      </c>
      <c r="O12" s="138">
        <f>N12*(1+'Panel kontrolny'!J$26)</f>
        <v>994.22341822504916</v>
      </c>
      <c r="P12" s="138">
        <f>O12*(1+'Panel kontrolny'!K$26)</f>
        <v>1019.0790036806753</v>
      </c>
    </row>
    <row r="13" spans="1:16" s="43" customFormat="1" x14ac:dyDescent="0.25">
      <c r="A13" s="135" t="s">
        <v>59</v>
      </c>
      <c r="B13" s="136" t="s">
        <v>56</v>
      </c>
      <c r="C13" s="167">
        <f>'Panel kontrolny'!$U$5</f>
        <v>1</v>
      </c>
      <c r="D13" s="206">
        <v>1000</v>
      </c>
      <c r="E13" s="137">
        <f>C13*D13</f>
        <v>1000</v>
      </c>
      <c r="F13" s="137">
        <f>E13*(1+'Panel kontrolny'!$AM$4)</f>
        <v>1000</v>
      </c>
      <c r="G13" s="137">
        <f>E13*(1+'Panel kontrolny'!D$26)</f>
        <v>1024</v>
      </c>
      <c r="H13" s="138">
        <f>G13*(1+'Panel kontrolny'!C$26)</f>
        <v>1049.5999999999999</v>
      </c>
      <c r="I13" s="138">
        <f>H13*(1+'Panel kontrolny'!D$26)</f>
        <v>1074.7903999999999</v>
      </c>
      <c r="J13" s="138">
        <f>I13*(1+'Panel kontrolny'!E$26)</f>
        <v>1100.5853695999999</v>
      </c>
      <c r="K13" s="138">
        <f>J13*(1+'Panel kontrolny'!F$26)</f>
        <v>1124.7982477312</v>
      </c>
      <c r="L13" s="138">
        <f>K13*(1+'Panel kontrolny'!G$26)</f>
        <v>1152.9182039244799</v>
      </c>
      <c r="M13" s="138">
        <f>L13*(1+'Panel kontrolny'!H$26)</f>
        <v>1181.7411590225918</v>
      </c>
      <c r="N13" s="138">
        <f>M13*(1+'Panel kontrolny'!I$26)</f>
        <v>1211.2846879981564</v>
      </c>
      <c r="O13" s="138">
        <f>N13*(1+'Panel kontrolny'!J$26)</f>
        <v>1241.5668051981102</v>
      </c>
      <c r="P13" s="138">
        <f>O13*(1+'Panel kontrolny'!K$26)</f>
        <v>1272.6059753280629</v>
      </c>
    </row>
    <row r="14" spans="1:16" s="43" customFormat="1" x14ac:dyDescent="0.25">
      <c r="A14" s="142" t="s">
        <v>164</v>
      </c>
      <c r="B14" s="143"/>
      <c r="C14" s="180"/>
      <c r="D14" s="181"/>
      <c r="E14" s="144"/>
      <c r="F14" s="158"/>
      <c r="G14" s="158"/>
      <c r="H14" s="158"/>
      <c r="I14" s="158"/>
      <c r="J14" s="158"/>
      <c r="K14" s="158"/>
      <c r="L14" s="158"/>
      <c r="M14" s="158"/>
      <c r="N14" s="158"/>
      <c r="O14" s="158"/>
      <c r="P14" s="158"/>
    </row>
    <row r="15" spans="1:16" ht="30" x14ac:dyDescent="0.25">
      <c r="A15" s="135" t="s">
        <v>168</v>
      </c>
      <c r="B15" s="136" t="s">
        <v>57</v>
      </c>
      <c r="C15" s="167">
        <f>'Panel kontrolny'!$U$2</f>
        <v>16</v>
      </c>
      <c r="D15" s="266">
        <v>10324.629999999999</v>
      </c>
      <c r="E15" s="137">
        <f>C15*D15</f>
        <v>165194.07999999999</v>
      </c>
      <c r="F15" s="137">
        <f t="shared" si="0"/>
        <v>165194.07999999999</v>
      </c>
      <c r="G15" s="138">
        <f>E15*(1+'Panel kontrolny'!B$26)*0.2</f>
        <v>33864.786399999997</v>
      </c>
      <c r="H15" s="138">
        <f>G15*(1+'Panel kontrolny'!C$26)</f>
        <v>34711.406059999994</v>
      </c>
      <c r="I15" s="138">
        <f>H15*(1+'Panel kontrolny'!D$26)</f>
        <v>35544.479805439994</v>
      </c>
      <c r="J15" s="138">
        <f>I15*(1+'Panel kontrolny'!E$26)</f>
        <v>36397.547320770558</v>
      </c>
      <c r="K15" s="138">
        <f>J15*(1+'Panel kontrolny'!F$26)</f>
        <v>37198.293361827513</v>
      </c>
      <c r="L15" s="138">
        <f>K15*(1+'Panel kontrolny'!G$26)</f>
        <v>38128.250695873197</v>
      </c>
      <c r="M15" s="138">
        <f>L15*(1+'Panel kontrolny'!H$26)</f>
        <v>39081.456963270022</v>
      </c>
      <c r="N15" s="138">
        <f>M15*(1+'Panel kontrolny'!I$26)</f>
        <v>40058.493387351766</v>
      </c>
      <c r="O15" s="138">
        <f>N15*(1+'Panel kontrolny'!J$26)</f>
        <v>41059.955722035556</v>
      </c>
      <c r="P15" s="138">
        <f>O15*(1+'Panel kontrolny'!K$26)</f>
        <v>42086.454615086441</v>
      </c>
    </row>
    <row r="16" spans="1:16" s="43" customFormat="1" ht="30" x14ac:dyDescent="0.25">
      <c r="A16" s="146" t="s">
        <v>188</v>
      </c>
      <c r="B16" s="140" t="s">
        <v>57</v>
      </c>
      <c r="C16" s="167">
        <f>'Panel kontrolny'!$U$2</f>
        <v>16</v>
      </c>
      <c r="D16" s="206">
        <v>15000</v>
      </c>
      <c r="E16" s="137">
        <f>C16*D16</f>
        <v>240000</v>
      </c>
      <c r="F16" s="137">
        <f t="shared" si="0"/>
        <v>240000</v>
      </c>
      <c r="G16" s="138">
        <f>E16*(1+'Panel kontrolny'!B$26)*0.2</f>
        <v>49200</v>
      </c>
      <c r="H16" s="138">
        <f>G16*(1+'Panel kontrolny'!C$26)</f>
        <v>50429.999999999993</v>
      </c>
      <c r="I16" s="138">
        <f>H16*(1+'Panel kontrolny'!D$26)</f>
        <v>51640.319999999992</v>
      </c>
      <c r="J16" s="138">
        <f>I16*(1+'Panel kontrolny'!E$26)</f>
        <v>52879.687679999995</v>
      </c>
      <c r="K16" s="138">
        <f>J16*(1+'Panel kontrolny'!F$26)</f>
        <v>54043.040808959995</v>
      </c>
      <c r="L16" s="138">
        <f>K16*(1+'Panel kontrolny'!G$26)</f>
        <v>55394.116829183993</v>
      </c>
      <c r="M16" s="138">
        <f>L16*(1+'Panel kontrolny'!H$26)</f>
        <v>56778.969749913587</v>
      </c>
      <c r="N16" s="138">
        <f>M16*(1+'Panel kontrolny'!I$26)</f>
        <v>58198.443993661422</v>
      </c>
      <c r="O16" s="138">
        <f>N16*(1+'Panel kontrolny'!J$26)</f>
        <v>59653.405093502952</v>
      </c>
      <c r="P16" s="138">
        <f>O16*(1+'Panel kontrolny'!K$26)</f>
        <v>61144.740220840518</v>
      </c>
    </row>
    <row r="17" spans="1:16" s="43" customFormat="1" x14ac:dyDescent="0.25">
      <c r="A17" s="146" t="s">
        <v>121</v>
      </c>
      <c r="B17" s="140" t="s">
        <v>130</v>
      </c>
      <c r="C17" s="167">
        <f>'Panel kontrolny'!$U$2</f>
        <v>16</v>
      </c>
      <c r="D17" s="206">
        <v>2500</v>
      </c>
      <c r="E17" s="137">
        <f>C17*D17</f>
        <v>40000</v>
      </c>
      <c r="F17" s="137">
        <f t="shared" si="0"/>
        <v>40000</v>
      </c>
      <c r="G17" s="137">
        <v>0</v>
      </c>
      <c r="H17" s="138">
        <f>G17*(1+'Panel kontrolny'!C$26)</f>
        <v>0</v>
      </c>
      <c r="I17" s="138">
        <f>H17*(1+'Panel kontrolny'!D$26)</f>
        <v>0</v>
      </c>
      <c r="J17" s="138">
        <f>I17*(1+'Panel kontrolny'!E$26)</f>
        <v>0</v>
      </c>
      <c r="K17" s="138">
        <f>J17*(1+'Panel kontrolny'!F$26)</f>
        <v>0</v>
      </c>
      <c r="L17" s="138">
        <f>K17*(1+'Panel kontrolny'!G$26)</f>
        <v>0</v>
      </c>
      <c r="M17" s="138">
        <f>L17*(1+'Panel kontrolny'!H$26)</f>
        <v>0</v>
      </c>
      <c r="N17" s="138">
        <f>M17*(1+'Panel kontrolny'!I$26)</f>
        <v>0</v>
      </c>
      <c r="O17" s="138">
        <f>N17*(1+'Panel kontrolny'!J$26)</f>
        <v>0</v>
      </c>
      <c r="P17" s="138">
        <f>O17*(1+'Panel kontrolny'!K$26)</f>
        <v>0</v>
      </c>
    </row>
    <row r="18" spans="1:16" s="43" customFormat="1" x14ac:dyDescent="0.25">
      <c r="A18" s="146" t="s">
        <v>58</v>
      </c>
      <c r="B18" s="140" t="s">
        <v>57</v>
      </c>
      <c r="C18" s="167">
        <f>'Panel kontrolny'!$U$2</f>
        <v>16</v>
      </c>
      <c r="D18" s="206">
        <v>4000</v>
      </c>
      <c r="E18" s="137">
        <f>C18*D18</f>
        <v>64000</v>
      </c>
      <c r="F18" s="137">
        <f t="shared" si="0"/>
        <v>64000</v>
      </c>
      <c r="G18" s="138">
        <f>E18*(1+'Panel kontrolny'!B$26)*0.2</f>
        <v>13120</v>
      </c>
      <c r="H18" s="138">
        <f>G18*(1+'Panel kontrolny'!C$26)</f>
        <v>13447.999999999998</v>
      </c>
      <c r="I18" s="138">
        <f>H18*(1+'Panel kontrolny'!D$26)</f>
        <v>13770.751999999999</v>
      </c>
      <c r="J18" s="138">
        <f>I18*(1+'Panel kontrolny'!E$26)</f>
        <v>14101.250047999998</v>
      </c>
      <c r="K18" s="138">
        <f>J18*(1+'Panel kontrolny'!F$26)</f>
        <v>14411.477549055999</v>
      </c>
      <c r="L18" s="138">
        <f>K18*(1+'Panel kontrolny'!G$26)</f>
        <v>14771.764487782397</v>
      </c>
      <c r="M18" s="138">
        <f>L18*(1+'Panel kontrolny'!H$26)</f>
        <v>15141.058599976956</v>
      </c>
      <c r="N18" s="138">
        <f>M18*(1+'Panel kontrolny'!I$26)</f>
        <v>15519.585064976378</v>
      </c>
      <c r="O18" s="138">
        <f>N18*(1+'Panel kontrolny'!J$26)</f>
        <v>15907.574691600787</v>
      </c>
      <c r="P18" s="138">
        <f>O18*(1+'Panel kontrolny'!K$26)</f>
        <v>16305.264058890805</v>
      </c>
    </row>
    <row r="19" spans="1:16" x14ac:dyDescent="0.25">
      <c r="A19" s="135" t="s">
        <v>59</v>
      </c>
      <c r="B19" s="136" t="s">
        <v>56</v>
      </c>
      <c r="C19" s="167">
        <f>'Panel kontrolny'!$U$2</f>
        <v>16</v>
      </c>
      <c r="D19" s="206">
        <v>1000</v>
      </c>
      <c r="E19" s="137">
        <f>C19*D19</f>
        <v>16000</v>
      </c>
      <c r="F19" s="137">
        <f>E19*(1+'Panel kontrolny'!$AM$4)</f>
        <v>16000</v>
      </c>
      <c r="G19" s="137">
        <f>E19*(1+'Panel kontrolny'!B$26)</f>
        <v>16400</v>
      </c>
      <c r="H19" s="138">
        <f>G19*(1+'Panel kontrolny'!C$26)</f>
        <v>16810</v>
      </c>
      <c r="I19" s="138">
        <f>H19*(1+'Panel kontrolny'!D$26)</f>
        <v>17213.439999999999</v>
      </c>
      <c r="J19" s="138">
        <f>I19*(1+'Panel kontrolny'!E$26)</f>
        <v>17626.562559999998</v>
      </c>
      <c r="K19" s="138">
        <f>J19*(1+'Panel kontrolny'!F$26)</f>
        <v>18014.346936319998</v>
      </c>
      <c r="L19" s="138">
        <f>K19*(1+'Panel kontrolny'!G$26)</f>
        <v>18464.705609727996</v>
      </c>
      <c r="M19" s="138">
        <f>L19*(1+'Panel kontrolny'!H$26)</f>
        <v>18926.323249971196</v>
      </c>
      <c r="N19" s="138">
        <f>M19*(1+'Panel kontrolny'!I$26)</f>
        <v>19399.481331220475</v>
      </c>
      <c r="O19" s="138">
        <f>N19*(1+'Panel kontrolny'!J$26)</f>
        <v>19884.468364500986</v>
      </c>
      <c r="P19" s="138">
        <f>O19*(1+'Panel kontrolny'!K$26)</f>
        <v>20381.58007361351</v>
      </c>
    </row>
    <row r="20" spans="1:16" s="43" customFormat="1" x14ac:dyDescent="0.25">
      <c r="A20" s="142" t="s">
        <v>82</v>
      </c>
      <c r="B20" s="143"/>
      <c r="C20" s="180"/>
      <c r="D20" s="181"/>
      <c r="E20" s="147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</row>
    <row r="21" spans="1:16" s="43" customFormat="1" x14ac:dyDescent="0.25">
      <c r="A21" s="148" t="s">
        <v>83</v>
      </c>
      <c r="B21" s="136" t="s">
        <v>57</v>
      </c>
      <c r="C21" s="167">
        <v>1</v>
      </c>
      <c r="D21" s="137">
        <v>58200</v>
      </c>
      <c r="E21" s="149">
        <f>C21*D21</f>
        <v>58200</v>
      </c>
      <c r="F21" s="137">
        <f t="shared" si="0"/>
        <v>58200</v>
      </c>
      <c r="G21" s="137">
        <f>E21*(1+'Panel kontrolny'!B$26)*0.2</f>
        <v>11931</v>
      </c>
      <c r="H21" s="138">
        <f>G21*(1+'Panel kontrolny'!C$26)</f>
        <v>12229.275</v>
      </c>
      <c r="I21" s="138">
        <f>H21*(1+'Panel kontrolny'!D$26)</f>
        <v>12522.777599999999</v>
      </c>
      <c r="J21" s="138">
        <f>I21*(1+'Panel kontrolny'!E$26)</f>
        <v>12823.324262399999</v>
      </c>
      <c r="K21" s="138">
        <f>J21*(1+'Panel kontrolny'!F$26)</f>
        <v>13105.4373961728</v>
      </c>
      <c r="L21" s="138">
        <f>K21*(1+'Panel kontrolny'!G$26)</f>
        <v>13433.073331077119</v>
      </c>
      <c r="M21" s="138">
        <f>L21*(1+'Panel kontrolny'!H$26)</f>
        <v>13768.900164354047</v>
      </c>
      <c r="N21" s="138">
        <f>M21*(1+'Panel kontrolny'!I$26)</f>
        <v>14113.122668462896</v>
      </c>
      <c r="O21" s="138">
        <f>N21*(1+'Panel kontrolny'!J$26)</f>
        <v>14465.950735174467</v>
      </c>
      <c r="P21" s="138">
        <f>O21*(1+'Panel kontrolny'!K$26)</f>
        <v>14827.599503553827</v>
      </c>
    </row>
    <row r="22" spans="1:16" s="43" customFormat="1" x14ac:dyDescent="0.25">
      <c r="A22" s="148" t="s">
        <v>84</v>
      </c>
      <c r="B22" s="136" t="s">
        <v>57</v>
      </c>
      <c r="C22" s="168">
        <v>8</v>
      </c>
      <c r="D22" s="137">
        <v>6000</v>
      </c>
      <c r="E22" s="150">
        <f>C22*D22</f>
        <v>48000</v>
      </c>
      <c r="F22" s="137">
        <f t="shared" si="0"/>
        <v>48000</v>
      </c>
      <c r="G22" s="137">
        <f>E22*(1+'Panel kontrolny'!B$26)*0.2</f>
        <v>9840</v>
      </c>
      <c r="H22" s="138">
        <f>G22*(1+'Panel kontrolny'!C$26)</f>
        <v>10086</v>
      </c>
      <c r="I22" s="138">
        <f>H22*(1+'Panel kontrolny'!D$26)</f>
        <v>10328.064</v>
      </c>
      <c r="J22" s="138">
        <f>I22*(1+'Panel kontrolny'!E$26)</f>
        <v>10575.937536000001</v>
      </c>
      <c r="K22" s="138">
        <f>J22*(1+'Panel kontrolny'!F$26)</f>
        <v>10808.608161792001</v>
      </c>
      <c r="L22" s="138">
        <f>K22*(1+'Panel kontrolny'!G$26)</f>
        <v>11078.823365836799</v>
      </c>
      <c r="M22" s="138">
        <f>L22*(1+'Panel kontrolny'!H$26)</f>
        <v>11355.793949982717</v>
      </c>
      <c r="N22" s="138">
        <f>M22*(1+'Panel kontrolny'!I$26)</f>
        <v>11639.688798732284</v>
      </c>
      <c r="O22" s="138">
        <f>N22*(1+'Panel kontrolny'!J$26)</f>
        <v>11930.68101870059</v>
      </c>
      <c r="P22" s="138">
        <f>O22*(1+'Panel kontrolny'!K$26)</f>
        <v>12228.948044168104</v>
      </c>
    </row>
    <row r="23" spans="1:16" s="43" customFormat="1" x14ac:dyDescent="0.25">
      <c r="A23" s="151" t="s">
        <v>85</v>
      </c>
      <c r="B23" s="136" t="s">
        <v>57</v>
      </c>
      <c r="C23" s="167">
        <v>1</v>
      </c>
      <c r="D23" s="137">
        <v>2220</v>
      </c>
      <c r="E23" s="149">
        <f>C23*D23</f>
        <v>2220</v>
      </c>
      <c r="F23" s="137">
        <f t="shared" si="0"/>
        <v>2220</v>
      </c>
      <c r="G23" s="137">
        <f>E23*(1+'Panel kontrolny'!B$26)*0.2</f>
        <v>455.1</v>
      </c>
      <c r="H23" s="138">
        <f>G23*(1+'Panel kontrolny'!C$26)</f>
        <v>466.47749999999996</v>
      </c>
      <c r="I23" s="138">
        <f>H23*(1+'Panel kontrolny'!D$26)</f>
        <v>477.67295999999999</v>
      </c>
      <c r="J23" s="138">
        <f>I23*(1+'Panel kontrolny'!E$26)</f>
        <v>489.13711103999998</v>
      </c>
      <c r="K23" s="138">
        <f>J23*(1+'Panel kontrolny'!F$26)</f>
        <v>499.89812748288</v>
      </c>
      <c r="L23" s="138">
        <f>K23*(1+'Panel kontrolny'!G$26)</f>
        <v>512.39558066995198</v>
      </c>
      <c r="M23" s="138">
        <f>L23*(1+'Panel kontrolny'!H$26)</f>
        <v>525.20547018670072</v>
      </c>
      <c r="N23" s="138">
        <f>M23*(1+'Panel kontrolny'!I$26)</f>
        <v>538.33560694136816</v>
      </c>
      <c r="O23" s="138">
        <f>N23*(1+'Panel kontrolny'!J$26)</f>
        <v>551.79399711490237</v>
      </c>
      <c r="P23" s="138">
        <f>O23*(1+'Panel kontrolny'!K$26)</f>
        <v>565.58884704277489</v>
      </c>
    </row>
    <row r="24" spans="1:16" s="43" customFormat="1" x14ac:dyDescent="0.25">
      <c r="A24" s="145" t="s">
        <v>86</v>
      </c>
      <c r="B24" s="136" t="s">
        <v>57</v>
      </c>
      <c r="C24" s="167">
        <v>1</v>
      </c>
      <c r="D24" s="137">
        <v>22200</v>
      </c>
      <c r="E24" s="149">
        <f t="shared" ref="E24:E36" si="1">C24*D24</f>
        <v>22200</v>
      </c>
      <c r="F24" s="137">
        <f t="shared" si="0"/>
        <v>22200</v>
      </c>
      <c r="G24" s="137">
        <f>E24*(1+'Panel kontrolny'!B$26)*0.2</f>
        <v>4550.9999999999991</v>
      </c>
      <c r="H24" s="138">
        <f>G24*(1+'Panel kontrolny'!C$26)</f>
        <v>4664.7749999999987</v>
      </c>
      <c r="I24" s="138">
        <f>H24*(1+'Panel kontrolny'!D$26)</f>
        <v>4776.7295999999988</v>
      </c>
      <c r="J24" s="138">
        <f>I24*(1+'Panel kontrolny'!E$26)</f>
        <v>4891.3711103999985</v>
      </c>
      <c r="K24" s="138">
        <f>J24*(1+'Panel kontrolny'!F$26)</f>
        <v>4998.9812748287986</v>
      </c>
      <c r="L24" s="138">
        <f>K24*(1+'Panel kontrolny'!G$26)</f>
        <v>5123.9558066995178</v>
      </c>
      <c r="M24" s="138">
        <f>L24*(1+'Panel kontrolny'!H$26)</f>
        <v>5252.054701867005</v>
      </c>
      <c r="N24" s="138">
        <f>M24*(1+'Panel kontrolny'!I$26)</f>
        <v>5383.3560694136795</v>
      </c>
      <c r="O24" s="138">
        <f>N24*(1+'Panel kontrolny'!J$26)</f>
        <v>5517.9399711490214</v>
      </c>
      <c r="P24" s="138">
        <f>O24*(1+'Panel kontrolny'!K$26)</f>
        <v>5655.8884704277461</v>
      </c>
    </row>
    <row r="25" spans="1:16" s="43" customFormat="1" x14ac:dyDescent="0.25">
      <c r="A25" s="151" t="s">
        <v>87</v>
      </c>
      <c r="B25" s="136" t="s">
        <v>57</v>
      </c>
      <c r="C25" s="167">
        <v>4</v>
      </c>
      <c r="D25" s="137">
        <v>630</v>
      </c>
      <c r="E25" s="149">
        <f t="shared" si="1"/>
        <v>2520</v>
      </c>
      <c r="F25" s="137">
        <f t="shared" si="0"/>
        <v>2520</v>
      </c>
      <c r="G25" s="137">
        <f>E25*(1+'Panel kontrolny'!B$26)*0.2</f>
        <v>516.6</v>
      </c>
      <c r="H25" s="138">
        <f>G25*(1+'Panel kontrolny'!C$26)</f>
        <v>529.51499999999999</v>
      </c>
      <c r="I25" s="138">
        <f>H25*(1+'Panel kontrolny'!D$26)</f>
        <v>542.22335999999996</v>
      </c>
      <c r="J25" s="138">
        <f>I25*(1+'Panel kontrolny'!E$26)</f>
        <v>555.23672063999993</v>
      </c>
      <c r="K25" s="138">
        <f>J25*(1+'Panel kontrolny'!F$26)</f>
        <v>567.45192849407999</v>
      </c>
      <c r="L25" s="138">
        <f>K25*(1+'Panel kontrolny'!G$26)</f>
        <v>581.63822670643196</v>
      </c>
      <c r="M25" s="138">
        <f>L25*(1+'Panel kontrolny'!H$26)</f>
        <v>596.17918237409276</v>
      </c>
      <c r="N25" s="138">
        <f>M25*(1+'Panel kontrolny'!I$26)</f>
        <v>611.083661933445</v>
      </c>
      <c r="O25" s="138">
        <f>N25*(1+'Panel kontrolny'!J$26)</f>
        <v>626.3607534817811</v>
      </c>
      <c r="P25" s="138">
        <f>O25*(1+'Panel kontrolny'!K$26)</f>
        <v>642.01977231882563</v>
      </c>
    </row>
    <row r="26" spans="1:16" s="43" customFormat="1" x14ac:dyDescent="0.25">
      <c r="A26" s="151" t="s">
        <v>88</v>
      </c>
      <c r="B26" s="136" t="s">
        <v>57</v>
      </c>
      <c r="C26" s="167">
        <v>4</v>
      </c>
      <c r="D26" s="137">
        <v>3000</v>
      </c>
      <c r="E26" s="149">
        <f t="shared" si="1"/>
        <v>12000</v>
      </c>
      <c r="F26" s="137">
        <f t="shared" si="0"/>
        <v>12000</v>
      </c>
      <c r="G26" s="137">
        <f>E26*(1+'Panel kontrolny'!B$26)*0.2</f>
        <v>2460</v>
      </c>
      <c r="H26" s="138">
        <f>G26*(1+'Panel kontrolny'!C$26)</f>
        <v>2521.5</v>
      </c>
      <c r="I26" s="138">
        <f>H26*(1+'Panel kontrolny'!D$26)</f>
        <v>2582.0160000000001</v>
      </c>
      <c r="J26" s="138">
        <f>I26*(1+'Panel kontrolny'!E$26)</f>
        <v>2643.9843840000003</v>
      </c>
      <c r="K26" s="138">
        <f>J26*(1+'Panel kontrolny'!F$26)</f>
        <v>2702.1520404480002</v>
      </c>
      <c r="L26" s="138">
        <f>K26*(1+'Panel kontrolny'!G$26)</f>
        <v>2769.7058414591997</v>
      </c>
      <c r="M26" s="138">
        <f>L26*(1+'Panel kontrolny'!H$26)</f>
        <v>2838.9484874956793</v>
      </c>
      <c r="N26" s="138">
        <f>M26*(1+'Panel kontrolny'!I$26)</f>
        <v>2909.9221996830711</v>
      </c>
      <c r="O26" s="138">
        <f>N26*(1+'Panel kontrolny'!J$26)</f>
        <v>2982.6702546751476</v>
      </c>
      <c r="P26" s="138">
        <f>O26*(1+'Panel kontrolny'!K$26)</f>
        <v>3057.2370110420261</v>
      </c>
    </row>
    <row r="27" spans="1:16" s="43" customFormat="1" x14ac:dyDescent="0.25">
      <c r="A27" s="142" t="s">
        <v>89</v>
      </c>
      <c r="B27" s="143"/>
      <c r="C27" s="180"/>
      <c r="D27" s="181"/>
      <c r="E27" s="147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</row>
    <row r="28" spans="1:16" s="43" customFormat="1" x14ac:dyDescent="0.25">
      <c r="A28" s="151" t="s">
        <v>90</v>
      </c>
      <c r="B28" s="136" t="s">
        <v>56</v>
      </c>
      <c r="C28" s="167">
        <v>1</v>
      </c>
      <c r="D28" s="137">
        <v>222000</v>
      </c>
      <c r="E28" s="149">
        <f t="shared" si="1"/>
        <v>222000</v>
      </c>
      <c r="F28" s="137">
        <f t="shared" si="0"/>
        <v>222000</v>
      </c>
      <c r="G28" s="137">
        <f>E28*(1+'Panel kontrolny'!B$26)</f>
        <v>227549.99999999997</v>
      </c>
      <c r="H28" s="138">
        <f>G28*(1+'Panel kontrolny'!C$26)</f>
        <v>233238.74999999994</v>
      </c>
      <c r="I28" s="138">
        <f>H28*(1+'Panel kontrolny'!D$26)</f>
        <v>238836.47999999995</v>
      </c>
      <c r="J28" s="138">
        <f>I28*(1+'Panel kontrolny'!E$26)</f>
        <v>244568.55551999997</v>
      </c>
      <c r="K28" s="138">
        <f>J28*(1+'Panel kontrolny'!F$26)</f>
        <v>249949.06374143998</v>
      </c>
      <c r="L28" s="138">
        <f>K28*(1+'Panel kontrolny'!G$26)</f>
        <v>256197.79033497596</v>
      </c>
      <c r="M28" s="138">
        <f>L28*(1+'Panel kontrolny'!H$26)</f>
        <v>262602.73509335035</v>
      </c>
      <c r="N28" s="138">
        <f>M28*(1+'Panel kontrolny'!I$26)</f>
        <v>269167.8034706841</v>
      </c>
      <c r="O28" s="138">
        <f>N28*(1+'Panel kontrolny'!J$26)</f>
        <v>275896.99855745118</v>
      </c>
      <c r="P28" s="138">
        <f>O28*(1+'Panel kontrolny'!K$26)</f>
        <v>282794.42352138745</v>
      </c>
    </row>
    <row r="29" spans="1:16" s="43" customFormat="1" x14ac:dyDescent="0.25">
      <c r="A29" s="138" t="s">
        <v>91</v>
      </c>
      <c r="B29" s="136" t="s">
        <v>56</v>
      </c>
      <c r="C29" s="167">
        <v>3</v>
      </c>
      <c r="D29" s="137">
        <v>2220</v>
      </c>
      <c r="E29" s="149">
        <f t="shared" si="1"/>
        <v>6660</v>
      </c>
      <c r="F29" s="137">
        <f t="shared" si="0"/>
        <v>6660</v>
      </c>
      <c r="G29" s="137">
        <f>E29*(1+'Panel kontrolny'!B$26)</f>
        <v>6826.4999999999991</v>
      </c>
      <c r="H29" s="138">
        <f>G29*(1+'Panel kontrolny'!C$26)</f>
        <v>6997.1624999999985</v>
      </c>
      <c r="I29" s="138">
        <f>H29*(1+'Panel kontrolny'!D$26)</f>
        <v>7165.094399999999</v>
      </c>
      <c r="J29" s="138">
        <f>I29*(1+'Panel kontrolny'!E$26)</f>
        <v>7337.0566655999992</v>
      </c>
      <c r="K29" s="138">
        <f>J29*(1+'Panel kontrolny'!F$26)</f>
        <v>7498.4719122431989</v>
      </c>
      <c r="L29" s="138">
        <f>K29*(1+'Panel kontrolny'!G$26)</f>
        <v>7685.9337100492785</v>
      </c>
      <c r="M29" s="138">
        <f>L29*(1+'Panel kontrolny'!H$26)</f>
        <v>7878.0820528005097</v>
      </c>
      <c r="N29" s="138">
        <f>M29*(1+'Panel kontrolny'!I$26)</f>
        <v>8075.034104120522</v>
      </c>
      <c r="O29" s="138">
        <f>N29*(1+'Panel kontrolny'!J$26)</f>
        <v>8276.9099567235335</v>
      </c>
      <c r="P29" s="138">
        <f>O29*(1+'Panel kontrolny'!K$26)</f>
        <v>8483.8327056416219</v>
      </c>
    </row>
    <row r="30" spans="1:16" s="43" customFormat="1" x14ac:dyDescent="0.25">
      <c r="A30" s="138" t="s">
        <v>92</v>
      </c>
      <c r="B30" s="136" t="s">
        <v>56</v>
      </c>
      <c r="C30" s="167">
        <v>1</v>
      </c>
      <c r="D30" s="137">
        <v>22200</v>
      </c>
      <c r="E30" s="149">
        <f t="shared" si="1"/>
        <v>22200</v>
      </c>
      <c r="F30" s="137">
        <f t="shared" si="0"/>
        <v>22200</v>
      </c>
      <c r="G30" s="137">
        <f>E30*(1+'Panel kontrolny'!B$26)</f>
        <v>22754.999999999996</v>
      </c>
      <c r="H30" s="138">
        <f>G30*(1+'Panel kontrolny'!C$26)</f>
        <v>23323.874999999993</v>
      </c>
      <c r="I30" s="138">
        <f>H30*(1+'Panel kontrolny'!D$26)</f>
        <v>23883.647999999994</v>
      </c>
      <c r="J30" s="138">
        <f>I30*(1+'Panel kontrolny'!E$26)</f>
        <v>24456.855551999994</v>
      </c>
      <c r="K30" s="138">
        <f>J30*(1+'Panel kontrolny'!F$26)</f>
        <v>24994.906374143993</v>
      </c>
      <c r="L30" s="138">
        <f>K30*(1+'Panel kontrolny'!G$26)</f>
        <v>25619.779033497591</v>
      </c>
      <c r="M30" s="138">
        <f>L30*(1+'Panel kontrolny'!H$26)</f>
        <v>26260.273509335027</v>
      </c>
      <c r="N30" s="138">
        <f>M30*(1+'Panel kontrolny'!I$26)</f>
        <v>26916.780347068401</v>
      </c>
      <c r="O30" s="138">
        <f>N30*(1+'Panel kontrolny'!J$26)</f>
        <v>27589.699855745108</v>
      </c>
      <c r="P30" s="138">
        <f>O30*(1+'Panel kontrolny'!K$26)</f>
        <v>28279.442352138733</v>
      </c>
    </row>
    <row r="31" spans="1:16" s="43" customFormat="1" x14ac:dyDescent="0.25">
      <c r="A31" s="138" t="s">
        <v>100</v>
      </c>
      <c r="B31" s="136" t="s">
        <v>101</v>
      </c>
      <c r="C31" s="167">
        <v>1</v>
      </c>
      <c r="D31" s="137">
        <v>43800</v>
      </c>
      <c r="E31" s="149">
        <f t="shared" si="1"/>
        <v>43800</v>
      </c>
      <c r="F31" s="137">
        <f t="shared" si="0"/>
        <v>43800</v>
      </c>
      <c r="G31" s="137">
        <f>E31*(1+'Panel kontrolny'!B$26)*0.5</f>
        <v>22447.499999999996</v>
      </c>
      <c r="H31" s="138">
        <f>G31*(1+'Panel kontrolny'!C$26)</f>
        <v>23008.687499999993</v>
      </c>
      <c r="I31" s="138">
        <f>H31*(1+'Panel kontrolny'!D$26)</f>
        <v>23560.895999999993</v>
      </c>
      <c r="J31" s="138">
        <f>I31*(1+'Panel kontrolny'!E$26)</f>
        <v>24126.357503999992</v>
      </c>
      <c r="K31" s="138">
        <f>J31*(1+'Panel kontrolny'!F$26)</f>
        <v>24657.137369087992</v>
      </c>
      <c r="L31" s="138">
        <f>K31*(1+'Panel kontrolny'!G$26)</f>
        <v>25273.565803315189</v>
      </c>
      <c r="M31" s="138">
        <f>L31*(1+'Panel kontrolny'!H$26)</f>
        <v>25905.404948398067</v>
      </c>
      <c r="N31" s="138">
        <f>M31*(1+'Panel kontrolny'!I$26)</f>
        <v>26553.040072108015</v>
      </c>
      <c r="O31" s="138">
        <f>N31*(1+'Panel kontrolny'!J$26)</f>
        <v>27216.866073910714</v>
      </c>
      <c r="P31" s="138">
        <f>O31*(1+'Panel kontrolny'!K$26)</f>
        <v>27897.287725758481</v>
      </c>
    </row>
    <row r="32" spans="1:16" s="43" customFormat="1" x14ac:dyDescent="0.25">
      <c r="A32" s="138" t="s">
        <v>93</v>
      </c>
      <c r="B32" s="136" t="s">
        <v>56</v>
      </c>
      <c r="C32" s="167">
        <v>1</v>
      </c>
      <c r="D32" s="137">
        <v>43800</v>
      </c>
      <c r="E32" s="149">
        <f t="shared" si="1"/>
        <v>43800</v>
      </c>
      <c r="F32" s="137">
        <f t="shared" si="0"/>
        <v>43800</v>
      </c>
      <c r="G32" s="137">
        <f>E32*(1+'Panel kontrolny'!B$26)</f>
        <v>44894.999999999993</v>
      </c>
      <c r="H32" s="138">
        <f>G32*(1+'Panel kontrolny'!C$26)</f>
        <v>46017.374999999985</v>
      </c>
      <c r="I32" s="138">
        <f>H32*(1+'Panel kontrolny'!D$26)</f>
        <v>47121.791999999987</v>
      </c>
      <c r="J32" s="138">
        <f>I32*(1+'Panel kontrolny'!E$26)</f>
        <v>48252.715007999985</v>
      </c>
      <c r="K32" s="138">
        <f>J32*(1+'Panel kontrolny'!F$26)</f>
        <v>49314.274738175984</v>
      </c>
      <c r="L32" s="138">
        <f>K32*(1+'Panel kontrolny'!G$26)</f>
        <v>50547.131606630377</v>
      </c>
      <c r="M32" s="138">
        <f>L32*(1+'Panel kontrolny'!H$26)</f>
        <v>51810.809896796134</v>
      </c>
      <c r="N32" s="138">
        <f>M32*(1+'Panel kontrolny'!I$26)</f>
        <v>53106.08014421603</v>
      </c>
      <c r="O32" s="138">
        <f>N32*(1+'Panel kontrolny'!J$26)</f>
        <v>54433.732147821429</v>
      </c>
      <c r="P32" s="138">
        <f>O32*(1+'Panel kontrolny'!K$26)</f>
        <v>55794.575451516961</v>
      </c>
    </row>
    <row r="33" spans="1:16" s="43" customFormat="1" x14ac:dyDescent="0.25">
      <c r="A33" s="142" t="s">
        <v>94</v>
      </c>
      <c r="B33" s="143"/>
      <c r="C33" s="180"/>
      <c r="D33" s="181"/>
      <c r="E33" s="147"/>
      <c r="F33" s="158"/>
      <c r="G33" s="158"/>
      <c r="H33" s="158"/>
      <c r="I33" s="158"/>
      <c r="J33" s="158"/>
      <c r="K33" s="158"/>
      <c r="L33" s="158"/>
      <c r="M33" s="158"/>
      <c r="N33" s="158"/>
      <c r="O33" s="158"/>
      <c r="P33" s="158"/>
    </row>
    <row r="34" spans="1:16" s="43" customFormat="1" x14ac:dyDescent="0.25">
      <c r="A34" s="151" t="s">
        <v>95</v>
      </c>
      <c r="B34" s="136" t="s">
        <v>56</v>
      </c>
      <c r="C34" s="167">
        <v>500</v>
      </c>
      <c r="D34" s="137">
        <v>2.2799999999999998</v>
      </c>
      <c r="E34" s="149">
        <f t="shared" si="1"/>
        <v>1140</v>
      </c>
      <c r="F34" s="137">
        <f t="shared" si="0"/>
        <v>1140</v>
      </c>
      <c r="G34" s="137">
        <f>E34*(1+'Panel kontrolny'!B$26)</f>
        <v>1168.5</v>
      </c>
      <c r="H34" s="138">
        <f>G34*(1+'Panel kontrolny'!C$26)</f>
        <v>1197.7124999999999</v>
      </c>
      <c r="I34" s="138">
        <f>H34*(1+'Panel kontrolny'!D$26)</f>
        <v>1226.4576</v>
      </c>
      <c r="J34" s="138">
        <f>I34*(1+'Panel kontrolny'!E$26)</f>
        <v>1255.8925824</v>
      </c>
      <c r="K34" s="138">
        <f>J34*(1+'Panel kontrolny'!F$26)</f>
        <v>1283.5222192128001</v>
      </c>
      <c r="L34" s="138">
        <f>K34*(1+'Panel kontrolny'!G$26)</f>
        <v>1315.6102746931199</v>
      </c>
      <c r="M34" s="138">
        <f>L34*(1+'Panel kontrolny'!H$26)</f>
        <v>1348.5005315604478</v>
      </c>
      <c r="N34" s="138">
        <f>M34*(1+'Panel kontrolny'!I$26)</f>
        <v>1382.2130448494588</v>
      </c>
      <c r="O34" s="138">
        <f>N34*(1+'Panel kontrolny'!J$26)</f>
        <v>1416.7683709706951</v>
      </c>
      <c r="P34" s="138">
        <f>O34*(1+'Panel kontrolny'!K$26)</f>
        <v>1452.1875802449624</v>
      </c>
    </row>
    <row r="35" spans="1:16" s="43" customFormat="1" x14ac:dyDescent="0.25">
      <c r="A35" s="151" t="s">
        <v>96</v>
      </c>
      <c r="B35" s="136" t="s">
        <v>56</v>
      </c>
      <c r="C35" s="167">
        <v>50</v>
      </c>
      <c r="D35" s="137">
        <v>480</v>
      </c>
      <c r="E35" s="149">
        <f t="shared" si="1"/>
        <v>24000</v>
      </c>
      <c r="F35" s="137">
        <f t="shared" si="0"/>
        <v>24000</v>
      </c>
      <c r="G35" s="137">
        <f>E35*(1+'Panel kontrolny'!B$26)</f>
        <v>24599.999999999996</v>
      </c>
      <c r="H35" s="138">
        <f>G35*(1+'Panel kontrolny'!C$26)</f>
        <v>25214.999999999993</v>
      </c>
      <c r="I35" s="138">
        <f>H35*(1+'Panel kontrolny'!D$26)</f>
        <v>25820.159999999993</v>
      </c>
      <c r="J35" s="138">
        <f>I35*(1+'Panel kontrolny'!E$26)</f>
        <v>26439.843839999994</v>
      </c>
      <c r="K35" s="138">
        <f>J35*(1+'Panel kontrolny'!F$26)</f>
        <v>27021.520404479994</v>
      </c>
      <c r="L35" s="138">
        <f>K35*(1+'Panel kontrolny'!G$26)</f>
        <v>27697.058414591993</v>
      </c>
      <c r="M35" s="138">
        <f>L35*(1+'Panel kontrolny'!H$26)</f>
        <v>28389.48487495679</v>
      </c>
      <c r="N35" s="138">
        <f>M35*(1+'Panel kontrolny'!I$26)</f>
        <v>29099.221996830707</v>
      </c>
      <c r="O35" s="138">
        <f>N35*(1+'Panel kontrolny'!J$26)</f>
        <v>29826.702546751472</v>
      </c>
      <c r="P35" s="138">
        <f>O35*(1+'Panel kontrolny'!K$26)</f>
        <v>30572.370110420256</v>
      </c>
    </row>
    <row r="36" spans="1:16" s="43" customFormat="1" x14ac:dyDescent="0.25">
      <c r="A36" s="151" t="s">
        <v>97</v>
      </c>
      <c r="B36" s="136" t="s">
        <v>56</v>
      </c>
      <c r="C36" s="167">
        <v>50</v>
      </c>
      <c r="D36" s="137">
        <v>60</v>
      </c>
      <c r="E36" s="149">
        <f t="shared" si="1"/>
        <v>3000</v>
      </c>
      <c r="F36" s="137">
        <f t="shared" si="0"/>
        <v>3000</v>
      </c>
      <c r="G36" s="137">
        <f>E36*(1+'Panel kontrolny'!B$26)</f>
        <v>3074.9999999999995</v>
      </c>
      <c r="H36" s="138">
        <f>G36*(1+'Panel kontrolny'!C$26)</f>
        <v>3151.8749999999991</v>
      </c>
      <c r="I36" s="138">
        <f>H36*(1+'Panel kontrolny'!D$26)</f>
        <v>3227.5199999999991</v>
      </c>
      <c r="J36" s="138">
        <f>I36*(1+'Panel kontrolny'!E$26)</f>
        <v>3304.9804799999993</v>
      </c>
      <c r="K36" s="138">
        <f>J36*(1+'Panel kontrolny'!F$26)</f>
        <v>3377.6900505599992</v>
      </c>
      <c r="L36" s="138">
        <f>K36*(1+'Panel kontrolny'!G$26)</f>
        <v>3462.1323018239991</v>
      </c>
      <c r="M36" s="138">
        <f>L36*(1+'Panel kontrolny'!H$26)</f>
        <v>3548.6856093695988</v>
      </c>
      <c r="N36" s="138">
        <f>M36*(1+'Panel kontrolny'!I$26)</f>
        <v>3637.4027496038384</v>
      </c>
      <c r="O36" s="138">
        <f>N36*(1+'Panel kontrolny'!J$26)</f>
        <v>3728.337818343934</v>
      </c>
      <c r="P36" s="138">
        <f>O36*(1+'Panel kontrolny'!K$26)</f>
        <v>3821.5462638025319</v>
      </c>
    </row>
    <row r="37" spans="1:16" s="44" customFormat="1" x14ac:dyDescent="0.25">
      <c r="A37" s="142" t="s">
        <v>133</v>
      </c>
      <c r="B37" s="153"/>
      <c r="C37" s="180"/>
      <c r="D37" s="181"/>
      <c r="E37" s="154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P37" s="158"/>
    </row>
    <row r="38" spans="1:16" s="43" customFormat="1" x14ac:dyDescent="0.25">
      <c r="A38" s="146" t="s">
        <v>69</v>
      </c>
      <c r="B38" s="140" t="s">
        <v>57</v>
      </c>
      <c r="C38" s="167">
        <f>'Panel kontrolny'!$F$2</f>
        <v>4</v>
      </c>
      <c r="D38" s="137">
        <v>6000</v>
      </c>
      <c r="E38" s="137">
        <f t="shared" ref="E38:E43" si="2">C38*D38</f>
        <v>24000</v>
      </c>
      <c r="F38" s="137">
        <f t="shared" si="0"/>
        <v>24000</v>
      </c>
      <c r="G38" s="137">
        <f>E38*(1+'Panel kontrolny'!B$26)*0.2</f>
        <v>4920</v>
      </c>
      <c r="H38" s="138">
        <f>G38*(1+'Panel kontrolny'!C$26)</f>
        <v>5043</v>
      </c>
      <c r="I38" s="138">
        <f>H38*(1+'Panel kontrolny'!D$26)</f>
        <v>5164.0320000000002</v>
      </c>
      <c r="J38" s="138">
        <f>I38*(1+'Panel kontrolny'!E$26)</f>
        <v>5287.9687680000006</v>
      </c>
      <c r="K38" s="138">
        <f>J38*(1+'Panel kontrolny'!F$26)</f>
        <v>5404.3040808960004</v>
      </c>
      <c r="L38" s="138">
        <f>K38*(1+'Panel kontrolny'!G$26)</f>
        <v>5539.4116829183995</v>
      </c>
      <c r="M38" s="138">
        <f>L38*(1+'Panel kontrolny'!H$26)</f>
        <v>5677.8969749913585</v>
      </c>
      <c r="N38" s="138">
        <f>M38*(1+'Panel kontrolny'!I$26)</f>
        <v>5819.8443993661422</v>
      </c>
      <c r="O38" s="138">
        <f>N38*(1+'Panel kontrolny'!J$26)</f>
        <v>5965.3405093502952</v>
      </c>
      <c r="P38" s="138">
        <f>O38*(1+'Panel kontrolny'!K$26)</f>
        <v>6114.4740220840522</v>
      </c>
    </row>
    <row r="39" spans="1:16" x14ac:dyDescent="0.25">
      <c r="A39" s="135" t="s">
        <v>60</v>
      </c>
      <c r="B39" s="136" t="s">
        <v>56</v>
      </c>
      <c r="C39" s="167">
        <v>2</v>
      </c>
      <c r="D39" s="137">
        <v>57600</v>
      </c>
      <c r="E39" s="137">
        <f t="shared" si="2"/>
        <v>115200</v>
      </c>
      <c r="F39" s="137">
        <f>E39*(1+'Panel kontrolny'!$AM$4)</f>
        <v>115200</v>
      </c>
      <c r="G39" s="137">
        <f>E39*(1+'Panel kontrolny'!B$26)</f>
        <v>118079.99999999999</v>
      </c>
      <c r="H39" s="138">
        <f>G39*(1+'Panel kontrolny'!C$26)</f>
        <v>121031.99999999997</v>
      </c>
      <c r="I39" s="138">
        <f>H39*(1+'Panel kontrolny'!D$26)</f>
        <v>123936.76799999997</v>
      </c>
      <c r="J39" s="138">
        <f>I39*(1+'Panel kontrolny'!E$26)</f>
        <v>126911.25043199997</v>
      </c>
      <c r="K39" s="138">
        <f>J39*(1+'Panel kontrolny'!F$26)</f>
        <v>129703.29794150397</v>
      </c>
      <c r="L39" s="138">
        <f>K39*(1+'Panel kontrolny'!G$26)</f>
        <v>132945.88039004157</v>
      </c>
      <c r="M39" s="138">
        <f>L39*(1+'Panel kontrolny'!H$26)</f>
        <v>136269.5273997926</v>
      </c>
      <c r="N39" s="138">
        <f>M39*(1+'Panel kontrolny'!I$26)</f>
        <v>139676.26558478741</v>
      </c>
      <c r="O39" s="138">
        <f>N39*(1+'Panel kontrolny'!J$26)</f>
        <v>143168.17222440708</v>
      </c>
      <c r="P39" s="138">
        <f>O39*(1+'Panel kontrolny'!K$26)</f>
        <v>146747.37653001724</v>
      </c>
    </row>
    <row r="40" spans="1:16" s="43" customFormat="1" x14ac:dyDescent="0.25">
      <c r="A40" s="135" t="s">
        <v>114</v>
      </c>
      <c r="B40" s="136" t="s">
        <v>56</v>
      </c>
      <c r="C40" s="169">
        <v>2</v>
      </c>
      <c r="D40" s="137">
        <v>14400</v>
      </c>
      <c r="E40" s="137">
        <f t="shared" si="2"/>
        <v>28800</v>
      </c>
      <c r="F40" s="137">
        <f>E40*(1+'Panel kontrolny'!$AM$4)</f>
        <v>28800</v>
      </c>
      <c r="G40" s="137">
        <f>E40*(1+'Panel kontrolny'!B$26)</f>
        <v>29519.999999999996</v>
      </c>
      <c r="H40" s="138">
        <f>G40*(1+'Panel kontrolny'!C$26)</f>
        <v>30257.999999999993</v>
      </c>
      <c r="I40" s="138">
        <f>H40*(1+'Panel kontrolny'!D$26)</f>
        <v>30984.191999999992</v>
      </c>
      <c r="J40" s="138">
        <f>I40*(1+'Panel kontrolny'!E$26)</f>
        <v>31727.812607999993</v>
      </c>
      <c r="K40" s="138">
        <f>J40*(1+'Panel kontrolny'!F$26)</f>
        <v>32425.824485375993</v>
      </c>
      <c r="L40" s="138">
        <f>K40*(1+'Panel kontrolny'!G$26)</f>
        <v>33236.470097510391</v>
      </c>
      <c r="M40" s="138">
        <f>L40*(1+'Panel kontrolny'!H$26)</f>
        <v>34067.381849948149</v>
      </c>
      <c r="N40" s="138">
        <f>M40*(1+'Panel kontrolny'!I$26)</f>
        <v>34919.066396196853</v>
      </c>
      <c r="O40" s="138">
        <f>N40*(1+'Panel kontrolny'!J$26)</f>
        <v>35792.043056101771</v>
      </c>
      <c r="P40" s="138">
        <f>O40*(1+'Panel kontrolny'!K$26)</f>
        <v>36686.84413250431</v>
      </c>
    </row>
    <row r="41" spans="1:16" s="43" customFormat="1" x14ac:dyDescent="0.25">
      <c r="A41" s="135" t="s">
        <v>66</v>
      </c>
      <c r="B41" s="136" t="s">
        <v>56</v>
      </c>
      <c r="C41" s="169">
        <v>1</v>
      </c>
      <c r="D41" s="137">
        <v>30000</v>
      </c>
      <c r="E41" s="141">
        <f t="shared" si="2"/>
        <v>30000</v>
      </c>
      <c r="F41" s="137">
        <f t="shared" si="0"/>
        <v>30000</v>
      </c>
      <c r="G41" s="137">
        <f>E41*(1+'Panel kontrolny'!B$26)</f>
        <v>30749.999999999996</v>
      </c>
      <c r="H41" s="138">
        <f>G41*(1+'Panel kontrolny'!C$26)</f>
        <v>31518.749999999993</v>
      </c>
      <c r="I41" s="138">
        <f>H41*(1+'Panel kontrolny'!D$26)</f>
        <v>32275.199999999993</v>
      </c>
      <c r="J41" s="138">
        <f>I41*(1+'Panel kontrolny'!E$26)</f>
        <v>33049.804799999991</v>
      </c>
      <c r="K41" s="138">
        <f>J41*(1+'Panel kontrolny'!F$26)</f>
        <v>33776.900505599988</v>
      </c>
      <c r="L41" s="138">
        <f>K41*(1+'Panel kontrolny'!G$26)</f>
        <v>34621.323018239986</v>
      </c>
      <c r="M41" s="138">
        <f>L41*(1+'Panel kontrolny'!H$26)</f>
        <v>35486.856093695984</v>
      </c>
      <c r="N41" s="138">
        <f>M41*(1+'Panel kontrolny'!I$26)</f>
        <v>36374.027496038383</v>
      </c>
      <c r="O41" s="138">
        <f>N41*(1+'Panel kontrolny'!J$26)</f>
        <v>37283.378183439338</v>
      </c>
      <c r="P41" s="138">
        <f>O41*(1+'Panel kontrolny'!K$26)</f>
        <v>38215.462638025318</v>
      </c>
    </row>
    <row r="42" spans="1:16" s="43" customFormat="1" ht="30" x14ac:dyDescent="0.25">
      <c r="A42" s="151" t="s">
        <v>99</v>
      </c>
      <c r="B42" s="136" t="s">
        <v>56</v>
      </c>
      <c r="C42" s="167">
        <f>'Panel kontrolny'!$C$5</f>
        <v>15</v>
      </c>
      <c r="D42" s="137">
        <v>1200</v>
      </c>
      <c r="E42" s="150">
        <f t="shared" si="2"/>
        <v>18000</v>
      </c>
      <c r="F42" s="137">
        <f>E42*(1+'Panel kontrolny'!$AM$4)</f>
        <v>18000</v>
      </c>
      <c r="G42" s="137">
        <f>E42*(1+'Panel kontrolny'!B$26)</f>
        <v>18450</v>
      </c>
      <c r="H42" s="138">
        <f>G42*(1+'Panel kontrolny'!C$26)</f>
        <v>18911.25</v>
      </c>
      <c r="I42" s="138">
        <f>H42*(1+'Panel kontrolny'!D$26)</f>
        <v>19365.12</v>
      </c>
      <c r="J42" s="138">
        <f>I42*(1+'Panel kontrolny'!E$26)</f>
        <v>19829.882880000001</v>
      </c>
      <c r="K42" s="138">
        <f>J42*(1+'Panel kontrolny'!F$26)</f>
        <v>20266.14030336</v>
      </c>
      <c r="L42" s="138">
        <f>K42*(1+'Panel kontrolny'!G$26)</f>
        <v>20772.793810943997</v>
      </c>
      <c r="M42" s="138">
        <f>L42*(1+'Panel kontrolny'!H$26)</f>
        <v>21292.113656217596</v>
      </c>
      <c r="N42" s="138">
        <f>M42*(1+'Panel kontrolny'!I$26)</f>
        <v>21824.416497623035</v>
      </c>
      <c r="O42" s="138">
        <f>N42*(1+'Panel kontrolny'!J$26)</f>
        <v>22370.026910063611</v>
      </c>
      <c r="P42" s="138">
        <f>O42*(1+'Panel kontrolny'!K$26)</f>
        <v>22929.277582815197</v>
      </c>
    </row>
    <row r="43" spans="1:16" ht="30" x14ac:dyDescent="0.25">
      <c r="A43" s="151" t="s">
        <v>150</v>
      </c>
      <c r="B43" s="136" t="s">
        <v>56</v>
      </c>
      <c r="C43" s="167">
        <f>'Panel kontrolny'!$C$5</f>
        <v>15</v>
      </c>
      <c r="D43" s="137">
        <v>72000</v>
      </c>
      <c r="E43" s="149">
        <f t="shared" si="2"/>
        <v>1080000</v>
      </c>
      <c r="F43" s="137">
        <f>E43*(1+'Panel kontrolny'!$AM$4)</f>
        <v>1080000</v>
      </c>
      <c r="G43" s="137">
        <f>E43*(1+'Panel kontrolny'!B$26)</f>
        <v>1107000</v>
      </c>
      <c r="H43" s="138">
        <f>G43*(1+'Panel kontrolny'!C$26)</f>
        <v>1134675</v>
      </c>
      <c r="I43" s="138">
        <f>H43*(1+'Panel kontrolny'!D$26)</f>
        <v>1161907.2</v>
      </c>
      <c r="J43" s="138">
        <f>I43*(1+'Panel kontrolny'!E$26)</f>
        <v>1189792.9727999999</v>
      </c>
      <c r="K43" s="138">
        <f>J43*(1+'Panel kontrolny'!F$26)</f>
        <v>1215968.4182016</v>
      </c>
      <c r="L43" s="138">
        <f>K43*(1+'Panel kontrolny'!G$26)</f>
        <v>1246367.62865664</v>
      </c>
      <c r="M43" s="138">
        <f>L43*(1+'Panel kontrolny'!H$26)</f>
        <v>1277526.8193730558</v>
      </c>
      <c r="N43" s="138">
        <f>M43*(1+'Panel kontrolny'!I$26)</f>
        <v>1309464.9898573821</v>
      </c>
      <c r="O43" s="138">
        <f>N43*(1+'Panel kontrolny'!J$26)</f>
        <v>1342201.6146038165</v>
      </c>
      <c r="P43" s="138">
        <f>O43*(1+'Panel kontrolny'!K$26)</f>
        <v>1375756.6549689118</v>
      </c>
    </row>
    <row r="44" spans="1:16" s="43" customFormat="1" ht="30" x14ac:dyDescent="0.25">
      <c r="A44" s="142" t="s">
        <v>166</v>
      </c>
      <c r="B44" s="143"/>
      <c r="C44" s="180"/>
      <c r="D44" s="181"/>
      <c r="E44" s="147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</row>
    <row r="45" spans="1:16" s="43" customFormat="1" x14ac:dyDescent="0.25">
      <c r="A45" s="148" t="s">
        <v>98</v>
      </c>
      <c r="B45" s="136" t="s">
        <v>57</v>
      </c>
      <c r="C45" s="167">
        <v>1</v>
      </c>
      <c r="D45" s="137">
        <v>13200</v>
      </c>
      <c r="E45" s="149">
        <f>C45*D45</f>
        <v>13200</v>
      </c>
      <c r="F45" s="137">
        <f t="shared" si="0"/>
        <v>13200</v>
      </c>
      <c r="G45" s="137">
        <f>E45*(1+'Panel kontrolny'!B$26)*0.2</f>
        <v>2706</v>
      </c>
      <c r="H45" s="138">
        <f>G45*(1+'Panel kontrolny'!C$26)</f>
        <v>2773.6499999999996</v>
      </c>
      <c r="I45" s="138">
        <f>H45*(1+'Panel kontrolny'!D$26)</f>
        <v>2840.2175999999995</v>
      </c>
      <c r="J45" s="138">
        <f>I45*(1+'Panel kontrolny'!E$26)</f>
        <v>2908.3828223999994</v>
      </c>
      <c r="K45" s="138">
        <f>J45*(1+'Panel kontrolny'!F$26)</f>
        <v>2972.3672444927993</v>
      </c>
      <c r="L45" s="138">
        <f>K45*(1+'Panel kontrolny'!G$26)</f>
        <v>3046.6764256051188</v>
      </c>
      <c r="M45" s="138">
        <f>L45*(1+'Panel kontrolny'!H$26)</f>
        <v>3122.8433362452465</v>
      </c>
      <c r="N45" s="138">
        <f>M45*(1+'Panel kontrolny'!I$26)</f>
        <v>3200.9144196513776</v>
      </c>
      <c r="O45" s="138">
        <f>N45*(1+'Panel kontrolny'!J$26)</f>
        <v>3280.9372801426616</v>
      </c>
      <c r="P45" s="138">
        <f>O45*(1+'Panel kontrolny'!K$26)</f>
        <v>3362.9607121462277</v>
      </c>
    </row>
    <row r="46" spans="1:16" s="43" customFormat="1" x14ac:dyDescent="0.25">
      <c r="A46" s="148" t="s">
        <v>118</v>
      </c>
      <c r="B46" s="136" t="s">
        <v>57</v>
      </c>
      <c r="C46" s="168">
        <v>1</v>
      </c>
      <c r="D46" s="137">
        <v>18000</v>
      </c>
      <c r="E46" s="150">
        <f>C46*D46</f>
        <v>18000</v>
      </c>
      <c r="F46" s="137">
        <f t="shared" si="0"/>
        <v>18000</v>
      </c>
      <c r="G46" s="137">
        <f>E46*(1+'Panel kontrolny'!B$26)*0.2</f>
        <v>3690</v>
      </c>
      <c r="H46" s="138">
        <f>G46*(1+'Panel kontrolny'!C$26)</f>
        <v>3782.2499999999995</v>
      </c>
      <c r="I46" s="138">
        <f>H46*(1+'Panel kontrolny'!D$26)</f>
        <v>3873.0239999999994</v>
      </c>
      <c r="J46" s="138">
        <f>I46*(1+'Panel kontrolny'!E$26)</f>
        <v>3965.9765759999996</v>
      </c>
      <c r="K46" s="138">
        <f>J46*(1+'Panel kontrolny'!F$26)</f>
        <v>4053.2280606719996</v>
      </c>
      <c r="L46" s="138">
        <f>K46*(1+'Panel kontrolny'!G$26)</f>
        <v>4154.5587621887989</v>
      </c>
      <c r="M46" s="138">
        <f>L46*(1+'Panel kontrolny'!H$26)</f>
        <v>4258.4227312435187</v>
      </c>
      <c r="N46" s="138">
        <f>M46*(1+'Panel kontrolny'!I$26)</f>
        <v>4364.8832995246066</v>
      </c>
      <c r="O46" s="138">
        <f>N46*(1+'Panel kontrolny'!J$26)</f>
        <v>4474.0053820127214</v>
      </c>
      <c r="P46" s="138">
        <f>O46*(1+'Panel kontrolny'!K$26)</f>
        <v>4585.8555165630387</v>
      </c>
    </row>
    <row r="47" spans="1:16" s="43" customFormat="1" ht="45" x14ac:dyDescent="0.25">
      <c r="A47" s="148" t="s">
        <v>119</v>
      </c>
      <c r="B47" s="136" t="s">
        <v>57</v>
      </c>
      <c r="C47" s="168">
        <v>1</v>
      </c>
      <c r="D47" s="137">
        <v>18000</v>
      </c>
      <c r="E47" s="150">
        <f>C47*D47</f>
        <v>18000</v>
      </c>
      <c r="F47" s="137">
        <f t="shared" si="0"/>
        <v>18000</v>
      </c>
      <c r="G47" s="137">
        <f>E47*(1+'Panel kontrolny'!B$26)*0.2</f>
        <v>3690</v>
      </c>
      <c r="H47" s="138">
        <f>G47*(1+'Panel kontrolny'!C$26)</f>
        <v>3782.2499999999995</v>
      </c>
      <c r="I47" s="138">
        <f>H47*(1+'Panel kontrolny'!D$26)</f>
        <v>3873.0239999999994</v>
      </c>
      <c r="J47" s="138">
        <f>I47*(1+'Panel kontrolny'!E$26)</f>
        <v>3965.9765759999996</v>
      </c>
      <c r="K47" s="138">
        <f>J47*(1+'Panel kontrolny'!F$26)</f>
        <v>4053.2280606719996</v>
      </c>
      <c r="L47" s="138">
        <f>K47*(1+'Panel kontrolny'!G$26)</f>
        <v>4154.5587621887989</v>
      </c>
      <c r="M47" s="138">
        <f>L47*(1+'Panel kontrolny'!H$26)</f>
        <v>4258.4227312435187</v>
      </c>
      <c r="N47" s="138">
        <f>M47*(1+'Panel kontrolny'!I$26)</f>
        <v>4364.8832995246066</v>
      </c>
      <c r="O47" s="138">
        <f>N47*(1+'Panel kontrolny'!J$26)</f>
        <v>4474.0053820127214</v>
      </c>
      <c r="P47" s="138">
        <f>O47*(1+'Panel kontrolny'!K$26)</f>
        <v>4585.8555165630387</v>
      </c>
    </row>
    <row r="48" spans="1:16" s="43" customFormat="1" x14ac:dyDescent="0.25">
      <c r="A48" s="142" t="s">
        <v>144</v>
      </c>
      <c r="B48" s="143"/>
      <c r="C48" s="180"/>
      <c r="D48" s="181"/>
      <c r="E48" s="147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</row>
    <row r="49" spans="1:16" s="43" customFormat="1" x14ac:dyDescent="0.25">
      <c r="A49" s="155" t="s">
        <v>62</v>
      </c>
      <c r="B49" s="136" t="s">
        <v>56</v>
      </c>
      <c r="C49" s="167">
        <f>'Panel kontrolny'!$T$26</f>
        <v>66.88</v>
      </c>
      <c r="D49" s="206">
        <v>650</v>
      </c>
      <c r="E49" s="149">
        <f>C49*D49</f>
        <v>43472</v>
      </c>
      <c r="F49" s="137">
        <f>E49*(1+'Panel kontrolny'!$AM$4)</f>
        <v>43472</v>
      </c>
      <c r="G49" s="137">
        <f>E49*(1+'Panel kontrolny'!B$26)</f>
        <v>44558.799999999996</v>
      </c>
      <c r="H49" s="138">
        <f>G49*(1+'Panel kontrolny'!C$26)</f>
        <v>45672.76999999999</v>
      </c>
      <c r="I49" s="138">
        <f>H49*(1+'Panel kontrolny'!D$26)</f>
        <v>46768.916479999993</v>
      </c>
      <c r="J49" s="138">
        <f>I49*(1+'Panel kontrolny'!E$26)</f>
        <v>47891.370475519994</v>
      </c>
      <c r="K49" s="138">
        <f>J49*(1+'Panel kontrolny'!F$26)</f>
        <v>48944.980625981436</v>
      </c>
      <c r="L49" s="138">
        <f>K49*(1+'Panel kontrolny'!G$26)</f>
        <v>50168.605141630971</v>
      </c>
      <c r="M49" s="138">
        <f>L49*(1+'Panel kontrolny'!H$26)</f>
        <v>51422.820270171738</v>
      </c>
      <c r="N49" s="138">
        <f>M49*(1+'Panel kontrolny'!I$26)</f>
        <v>52708.390776926026</v>
      </c>
      <c r="O49" s="138">
        <f>N49*(1+'Panel kontrolny'!J$26)</f>
        <v>54026.100546349175</v>
      </c>
      <c r="P49" s="138">
        <f>O49*(1+'Panel kontrolny'!K$26)</f>
        <v>55376.753060007897</v>
      </c>
    </row>
    <row r="50" spans="1:16" s="43" customFormat="1" x14ac:dyDescent="0.25">
      <c r="A50" s="155" t="s">
        <v>63</v>
      </c>
      <c r="B50" s="136" t="s">
        <v>56</v>
      </c>
      <c r="C50" s="168">
        <f>'Panel kontrolny'!$T$26</f>
        <v>66.88</v>
      </c>
      <c r="D50" s="207">
        <v>45</v>
      </c>
      <c r="E50" s="150">
        <f>C50*D50</f>
        <v>3009.6</v>
      </c>
      <c r="F50" s="137">
        <f>E50*(1+'Panel kontrolny'!$AM$4)</f>
        <v>3009.6</v>
      </c>
      <c r="G50" s="137">
        <f>E50*(1+'Panel kontrolny'!B$26)</f>
        <v>3084.8399999999997</v>
      </c>
      <c r="H50" s="138">
        <f>G50*(1+'Panel kontrolny'!C$26)</f>
        <v>3161.9609999999993</v>
      </c>
      <c r="I50" s="138">
        <f>H50*(1+'Panel kontrolny'!D$26)</f>
        <v>3237.8480639999993</v>
      </c>
      <c r="J50" s="138">
        <f>I50*(1+'Panel kontrolny'!E$26)</f>
        <v>3315.5564175359996</v>
      </c>
      <c r="K50" s="138">
        <f>J50*(1+'Panel kontrolny'!F$26)</f>
        <v>3388.4986587217918</v>
      </c>
      <c r="L50" s="138">
        <f>K50*(1+'Panel kontrolny'!G$26)</f>
        <v>3473.2111251898364</v>
      </c>
      <c r="M50" s="138">
        <f>L50*(1+'Panel kontrolny'!H$26)</f>
        <v>3560.0414033195821</v>
      </c>
      <c r="N50" s="138">
        <f>M50*(1+'Panel kontrolny'!I$26)</f>
        <v>3649.0424384025714</v>
      </c>
      <c r="O50" s="138">
        <f>N50*(1+'Panel kontrolny'!J$26)</f>
        <v>3740.2684993626353</v>
      </c>
      <c r="P50" s="138">
        <f>O50*(1+'Panel kontrolny'!K$26)</f>
        <v>3833.775211846701</v>
      </c>
    </row>
    <row r="51" spans="1:16" s="43" customFormat="1" x14ac:dyDescent="0.25">
      <c r="A51" s="142" t="s">
        <v>146</v>
      </c>
      <c r="B51" s="143"/>
      <c r="C51" s="180"/>
      <c r="D51" s="181"/>
      <c r="E51" s="147"/>
      <c r="F51" s="158"/>
      <c r="G51" s="158"/>
      <c r="H51" s="158"/>
      <c r="I51" s="158"/>
      <c r="J51" s="158"/>
      <c r="K51" s="158"/>
      <c r="L51" s="158"/>
      <c r="M51" s="158"/>
      <c r="N51" s="158"/>
      <c r="O51" s="158"/>
      <c r="P51" s="158"/>
    </row>
    <row r="52" spans="1:16" s="43" customFormat="1" x14ac:dyDescent="0.25">
      <c r="A52" s="155" t="s">
        <v>62</v>
      </c>
      <c r="B52" s="136" t="s">
        <v>56</v>
      </c>
      <c r="C52" s="167">
        <f>'Panel kontrolny'!$F$2*'Panel kontrolny'!$R$2*'Panel kontrolny'!$O$5</f>
        <v>209</v>
      </c>
      <c r="D52" s="206">
        <v>650</v>
      </c>
      <c r="E52" s="137">
        <f>C52*D52</f>
        <v>135850</v>
      </c>
      <c r="F52" s="137">
        <f>E52*(1+'Panel kontrolny'!$AM$4)</f>
        <v>135850</v>
      </c>
      <c r="G52" s="137">
        <f>E52*(1+'Panel kontrolny'!B$26)</f>
        <v>139246.25</v>
      </c>
      <c r="H52" s="138">
        <f>G52*(1+'Panel kontrolny'!C$26)</f>
        <v>142727.40625</v>
      </c>
      <c r="I52" s="138">
        <f>H52*(1+'Panel kontrolny'!D$26)</f>
        <v>146152.864</v>
      </c>
      <c r="J52" s="138">
        <f>I52*(1+'Panel kontrolny'!E$26)</f>
        <v>149660.53273599999</v>
      </c>
      <c r="K52" s="138">
        <f>J52*(1+'Panel kontrolny'!F$26)</f>
        <v>152953.06445619199</v>
      </c>
      <c r="L52" s="138">
        <f>K52*(1+'Panel kontrolny'!G$26)</f>
        <v>156776.89106759676</v>
      </c>
      <c r="M52" s="138">
        <f>L52*(1+'Panel kontrolny'!H$26)</f>
        <v>160696.31334428667</v>
      </c>
      <c r="N52" s="138">
        <f>M52*(1+'Panel kontrolny'!I$26)</f>
        <v>164713.72117789381</v>
      </c>
      <c r="O52" s="138">
        <f>N52*(1+'Panel kontrolny'!J$26)</f>
        <v>168831.56420734114</v>
      </c>
      <c r="P52" s="138">
        <f>O52*(1+'Panel kontrolny'!K$26)</f>
        <v>173052.35331252465</v>
      </c>
    </row>
    <row r="53" spans="1:16" s="43" customFormat="1" x14ac:dyDescent="0.25">
      <c r="A53" s="155" t="s">
        <v>63</v>
      </c>
      <c r="B53" s="136" t="s">
        <v>56</v>
      </c>
      <c r="C53" s="167">
        <f>'Panel kontrolny'!$F$2*'Panel kontrolny'!$R$2*'Panel kontrolny'!$O$5</f>
        <v>209</v>
      </c>
      <c r="D53" s="207">
        <v>45</v>
      </c>
      <c r="E53" s="137">
        <f>C53*D53</f>
        <v>9405</v>
      </c>
      <c r="F53" s="137">
        <f>E53*(1+'Panel kontrolny'!$AM$4)</f>
        <v>9405</v>
      </c>
      <c r="G53" s="137">
        <f>E53*(1+'Panel kontrolny'!B$26)</f>
        <v>9640.125</v>
      </c>
      <c r="H53" s="138">
        <f>G53*(1+'Panel kontrolny'!C$26)</f>
        <v>9881.1281249999993</v>
      </c>
      <c r="I53" s="138">
        <f>H53*(1+'Panel kontrolny'!D$26)</f>
        <v>10118.2752</v>
      </c>
      <c r="J53" s="138">
        <f>I53*(1+'Panel kontrolny'!E$26)</f>
        <v>10361.113804800001</v>
      </c>
      <c r="K53" s="138">
        <f>J53*(1+'Panel kontrolny'!F$26)</f>
        <v>10589.058308505601</v>
      </c>
      <c r="L53" s="138">
        <f>K53*(1+'Panel kontrolny'!G$26)</f>
        <v>10853.784766218239</v>
      </c>
      <c r="M53" s="138">
        <f>L53*(1+'Panel kontrolny'!H$26)</f>
        <v>11125.129385373695</v>
      </c>
      <c r="N53" s="138">
        <f>M53*(1+'Panel kontrolny'!I$26)</f>
        <v>11403.257620008037</v>
      </c>
      <c r="O53" s="138">
        <f>N53*(1+'Panel kontrolny'!J$26)</f>
        <v>11688.339060508237</v>
      </c>
      <c r="P53" s="138">
        <f>O53*(1+'Panel kontrolny'!K$26)</f>
        <v>11980.547537020942</v>
      </c>
    </row>
    <row r="55" spans="1:16" s="44" customFormat="1" x14ac:dyDescent="0.25">
      <c r="A55" s="160" t="s">
        <v>142</v>
      </c>
      <c r="B55" s="163"/>
      <c r="C55" s="170"/>
      <c r="D55" s="163"/>
      <c r="E55" s="163"/>
      <c r="F55" s="161">
        <f t="shared" ref="F55:P55" si="3">SUM(F56:F65)</f>
        <v>2636619.94</v>
      </c>
      <c r="G55" s="161">
        <f t="shared" si="3"/>
        <v>2023711.0996999999</v>
      </c>
      <c r="H55" s="161">
        <f t="shared" si="3"/>
        <v>2074303.8771924998</v>
      </c>
      <c r="I55" s="161">
        <f t="shared" si="3"/>
        <v>2124087.1702451198</v>
      </c>
      <c r="J55" s="161">
        <f t="shared" si="3"/>
        <v>2175065.2623310024</v>
      </c>
      <c r="K55" s="161">
        <f t="shared" si="3"/>
        <v>2222916.6981022852</v>
      </c>
      <c r="L55" s="161">
        <f t="shared" si="3"/>
        <v>2278489.6155548422</v>
      </c>
      <c r="M55" s="161">
        <f t="shared" si="3"/>
        <v>2335451.8559437129</v>
      </c>
      <c r="N55" s="161">
        <f t="shared" si="3"/>
        <v>2393838.1523423051</v>
      </c>
      <c r="O55" s="161">
        <f t="shared" si="3"/>
        <v>2453684.1061508628</v>
      </c>
      <c r="P55" s="161">
        <f t="shared" si="3"/>
        <v>2515026.2088046339</v>
      </c>
    </row>
    <row r="56" spans="1:16" x14ac:dyDescent="0.25">
      <c r="A56" s="159" t="s">
        <v>132</v>
      </c>
      <c r="B56" s="163"/>
      <c r="C56" s="170"/>
      <c r="D56" s="163"/>
      <c r="E56" s="163"/>
      <c r="F56" s="162">
        <f t="shared" ref="F56:P56" si="4">SUM(F5:F7)</f>
        <v>29924.629999999997</v>
      </c>
      <c r="G56" s="162">
        <f t="shared" si="4"/>
        <v>5683.5491499999989</v>
      </c>
      <c r="H56" s="162">
        <f t="shared" si="4"/>
        <v>5825.6378787499989</v>
      </c>
      <c r="I56" s="162">
        <f t="shared" si="4"/>
        <v>5965.4531878399985</v>
      </c>
      <c r="J56" s="162">
        <f t="shared" si="4"/>
        <v>6108.6240643481588</v>
      </c>
      <c r="K56" s="162">
        <f t="shared" si="4"/>
        <v>6243.0137937638183</v>
      </c>
      <c r="L56" s="162">
        <f t="shared" si="4"/>
        <v>6399.0891386079129</v>
      </c>
      <c r="M56" s="162">
        <f t="shared" si="4"/>
        <v>6559.0663670731101</v>
      </c>
      <c r="N56" s="162">
        <f t="shared" si="4"/>
        <v>6723.0430262499376</v>
      </c>
      <c r="O56" s="162">
        <f t="shared" si="4"/>
        <v>6891.1191019061862</v>
      </c>
      <c r="P56" s="162">
        <f t="shared" si="4"/>
        <v>7063.39707945384</v>
      </c>
    </row>
    <row r="57" spans="1:16" x14ac:dyDescent="0.25">
      <c r="A57" s="152" t="s">
        <v>131</v>
      </c>
      <c r="B57" s="163"/>
      <c r="C57" s="170"/>
      <c r="D57" s="163"/>
      <c r="E57" s="163"/>
      <c r="F57" s="162">
        <f t="shared" ref="F57:P57" si="5">SUM(F9:F13)</f>
        <v>32824.629999999997</v>
      </c>
      <c r="G57" s="162">
        <f t="shared" si="5"/>
        <v>7035.5491499999998</v>
      </c>
      <c r="H57" s="162">
        <f t="shared" si="5"/>
        <v>7211.4378787499991</v>
      </c>
      <c r="I57" s="162">
        <f t="shared" si="5"/>
        <v>7384.5123878399982</v>
      </c>
      <c r="J57" s="162">
        <f t="shared" si="5"/>
        <v>7561.7406851481592</v>
      </c>
      <c r="K57" s="162">
        <f t="shared" si="5"/>
        <v>7728.098980221419</v>
      </c>
      <c r="L57" s="162">
        <f t="shared" si="5"/>
        <v>7921.301454726954</v>
      </c>
      <c r="M57" s="162">
        <f t="shared" si="5"/>
        <v>8119.3339910951272</v>
      </c>
      <c r="N57" s="162">
        <f t="shared" si="5"/>
        <v>8322.3173408725033</v>
      </c>
      <c r="O57" s="162">
        <f t="shared" si="5"/>
        <v>8530.3752743943151</v>
      </c>
      <c r="P57" s="162">
        <f t="shared" si="5"/>
        <v>8743.634656254173</v>
      </c>
    </row>
    <row r="58" spans="1:16" x14ac:dyDescent="0.25">
      <c r="A58" s="152" t="s">
        <v>164</v>
      </c>
      <c r="B58" s="163"/>
      <c r="C58" s="170"/>
      <c r="D58" s="163"/>
      <c r="E58" s="163"/>
      <c r="F58" s="162">
        <f t="shared" ref="F58:P58" si="6">SUM(F15:F19)</f>
        <v>525194.07999999996</v>
      </c>
      <c r="G58" s="162">
        <f t="shared" si="6"/>
        <v>112584.7864</v>
      </c>
      <c r="H58" s="162">
        <f t="shared" si="6"/>
        <v>115399.40605999998</v>
      </c>
      <c r="I58" s="162">
        <f t="shared" si="6"/>
        <v>118168.99180543997</v>
      </c>
      <c r="J58" s="162">
        <f t="shared" si="6"/>
        <v>121005.04760877055</v>
      </c>
      <c r="K58" s="162">
        <f t="shared" si="6"/>
        <v>123667.1586561635</v>
      </c>
      <c r="L58" s="162">
        <f t="shared" si="6"/>
        <v>126758.83762256759</v>
      </c>
      <c r="M58" s="162">
        <f t="shared" si="6"/>
        <v>129927.80856313175</v>
      </c>
      <c r="N58" s="162">
        <f t="shared" si="6"/>
        <v>133176.00377721002</v>
      </c>
      <c r="O58" s="162">
        <f t="shared" si="6"/>
        <v>136505.40387164027</v>
      </c>
      <c r="P58" s="162">
        <f t="shared" si="6"/>
        <v>139918.03896843127</v>
      </c>
    </row>
    <row r="59" spans="1:16" x14ac:dyDescent="0.25">
      <c r="A59" s="152" t="s">
        <v>82</v>
      </c>
      <c r="B59" s="163"/>
      <c r="C59" s="170"/>
      <c r="D59" s="163"/>
      <c r="E59" s="163"/>
      <c r="F59" s="162">
        <f t="shared" ref="F59:P59" si="7">SUM(F21:F26)</f>
        <v>145140</v>
      </c>
      <c r="G59" s="162">
        <f t="shared" si="7"/>
        <v>29753.699999999997</v>
      </c>
      <c r="H59" s="162">
        <f t="shared" si="7"/>
        <v>30497.5425</v>
      </c>
      <c r="I59" s="162">
        <f t="shared" si="7"/>
        <v>31229.483519999998</v>
      </c>
      <c r="J59" s="162">
        <f t="shared" si="7"/>
        <v>31978.991124480002</v>
      </c>
      <c r="K59" s="162">
        <f t="shared" si="7"/>
        <v>32682.528929218559</v>
      </c>
      <c r="L59" s="162">
        <f t="shared" si="7"/>
        <v>33499.592152449026</v>
      </c>
      <c r="M59" s="162">
        <f t="shared" si="7"/>
        <v>34337.081956260241</v>
      </c>
      <c r="N59" s="162">
        <f t="shared" si="7"/>
        <v>35195.509005166743</v>
      </c>
      <c r="O59" s="162">
        <f t="shared" si="7"/>
        <v>36075.396730295914</v>
      </c>
      <c r="P59" s="162">
        <f t="shared" si="7"/>
        <v>36977.281648553297</v>
      </c>
    </row>
    <row r="60" spans="1:16" x14ac:dyDescent="0.25">
      <c r="A60" s="152" t="s">
        <v>89</v>
      </c>
      <c r="B60" s="163"/>
      <c r="C60" s="170"/>
      <c r="D60" s="163"/>
      <c r="E60" s="163"/>
      <c r="F60" s="162">
        <f t="shared" ref="F60:P60" si="8">SUM(F28:F32)</f>
        <v>338460</v>
      </c>
      <c r="G60" s="162">
        <f t="shared" si="8"/>
        <v>324473.99999999994</v>
      </c>
      <c r="H60" s="162">
        <f t="shared" si="8"/>
        <v>332585.84999999992</v>
      </c>
      <c r="I60" s="162">
        <f t="shared" si="8"/>
        <v>340567.91039999994</v>
      </c>
      <c r="J60" s="162">
        <f t="shared" si="8"/>
        <v>348741.54024959996</v>
      </c>
      <c r="K60" s="162">
        <f t="shared" si="8"/>
        <v>356413.85413509118</v>
      </c>
      <c r="L60" s="162">
        <f t="shared" si="8"/>
        <v>365324.20048846846</v>
      </c>
      <c r="M60" s="162">
        <f t="shared" si="8"/>
        <v>374457.30550068006</v>
      </c>
      <c r="N60" s="162">
        <f t="shared" si="8"/>
        <v>383818.73813819705</v>
      </c>
      <c r="O60" s="162">
        <f t="shared" si="8"/>
        <v>393414.20659165201</v>
      </c>
      <c r="P60" s="162">
        <f t="shared" si="8"/>
        <v>403249.56175644329</v>
      </c>
    </row>
    <row r="61" spans="1:16" x14ac:dyDescent="0.25">
      <c r="A61" s="152" t="s">
        <v>94</v>
      </c>
      <c r="B61" s="163"/>
      <c r="C61" s="170"/>
      <c r="D61" s="163"/>
      <c r="E61" s="163"/>
      <c r="F61" s="162">
        <f t="shared" ref="F61:P61" si="9">SUM(F34:F36)</f>
        <v>28140</v>
      </c>
      <c r="G61" s="162">
        <f t="shared" si="9"/>
        <v>28843.499999999996</v>
      </c>
      <c r="H61" s="162">
        <f t="shared" si="9"/>
        <v>29564.587499999994</v>
      </c>
      <c r="I61" s="162">
        <f t="shared" si="9"/>
        <v>30274.137599999995</v>
      </c>
      <c r="J61" s="162">
        <f t="shared" si="9"/>
        <v>31000.716902399992</v>
      </c>
      <c r="K61" s="162">
        <f t="shared" si="9"/>
        <v>31682.732674252791</v>
      </c>
      <c r="L61" s="162">
        <f t="shared" si="9"/>
        <v>32474.800991109114</v>
      </c>
      <c r="M61" s="162">
        <f t="shared" si="9"/>
        <v>33286.671015886837</v>
      </c>
      <c r="N61" s="162">
        <f t="shared" si="9"/>
        <v>34118.837791284001</v>
      </c>
      <c r="O61" s="162">
        <f t="shared" si="9"/>
        <v>34971.808736066101</v>
      </c>
      <c r="P61" s="162">
        <f t="shared" si="9"/>
        <v>35846.103954467748</v>
      </c>
    </row>
    <row r="62" spans="1:16" x14ac:dyDescent="0.25">
      <c r="A62" s="152" t="s">
        <v>133</v>
      </c>
      <c r="B62" s="163"/>
      <c r="C62" s="170"/>
      <c r="D62" s="163"/>
      <c r="E62" s="163"/>
      <c r="F62" s="162">
        <f t="shared" ref="F62:P62" si="10">SUM(F38:F43)</f>
        <v>1296000</v>
      </c>
      <c r="G62" s="162">
        <f t="shared" si="10"/>
        <v>1308720</v>
      </c>
      <c r="H62" s="162">
        <f t="shared" si="10"/>
        <v>1341438</v>
      </c>
      <c r="I62" s="162">
        <f t="shared" si="10"/>
        <v>1373632.5119999999</v>
      </c>
      <c r="J62" s="162">
        <f t="shared" si="10"/>
        <v>1406599.6922879997</v>
      </c>
      <c r="K62" s="162">
        <f t="shared" si="10"/>
        <v>1437544.885518336</v>
      </c>
      <c r="L62" s="162">
        <f t="shared" si="10"/>
        <v>1473483.5076562944</v>
      </c>
      <c r="M62" s="162">
        <f t="shared" si="10"/>
        <v>1510320.5953477016</v>
      </c>
      <c r="N62" s="162">
        <f t="shared" si="10"/>
        <v>1548078.6102313939</v>
      </c>
      <c r="O62" s="162">
        <f t="shared" si="10"/>
        <v>1586780.5754871788</v>
      </c>
      <c r="P62" s="162">
        <f t="shared" si="10"/>
        <v>1626450.0898743579</v>
      </c>
    </row>
    <row r="63" spans="1:16" ht="30" x14ac:dyDescent="0.25">
      <c r="A63" s="152" t="s">
        <v>166</v>
      </c>
      <c r="B63" s="163"/>
      <c r="C63" s="170"/>
      <c r="D63" s="163"/>
      <c r="E63" s="163"/>
      <c r="F63" s="162">
        <f t="shared" ref="F63:P63" si="11">SUM(F45:F47)</f>
        <v>49200</v>
      </c>
      <c r="G63" s="162">
        <f t="shared" si="11"/>
        <v>10086</v>
      </c>
      <c r="H63" s="162">
        <f t="shared" si="11"/>
        <v>10338.15</v>
      </c>
      <c r="I63" s="162">
        <f t="shared" si="11"/>
        <v>10586.265599999999</v>
      </c>
      <c r="J63" s="162">
        <f t="shared" si="11"/>
        <v>10840.335974399999</v>
      </c>
      <c r="K63" s="162">
        <f t="shared" si="11"/>
        <v>11078.823365836799</v>
      </c>
      <c r="L63" s="162">
        <f t="shared" si="11"/>
        <v>11355.793949982717</v>
      </c>
      <c r="M63" s="162">
        <f t="shared" si="11"/>
        <v>11639.688798732284</v>
      </c>
      <c r="N63" s="162">
        <f t="shared" si="11"/>
        <v>11930.68101870059</v>
      </c>
      <c r="O63" s="162">
        <f t="shared" si="11"/>
        <v>12228.948044168104</v>
      </c>
      <c r="P63" s="162">
        <f t="shared" si="11"/>
        <v>12534.671745272306</v>
      </c>
    </row>
    <row r="64" spans="1:16" x14ac:dyDescent="0.25">
      <c r="A64" s="152" t="s">
        <v>134</v>
      </c>
      <c r="B64" s="163"/>
      <c r="C64" s="170"/>
      <c r="D64" s="163"/>
      <c r="E64" s="163"/>
      <c r="F64" s="162">
        <f t="shared" ref="F64:P64" si="12">SUM(F49:F50)</f>
        <v>46481.599999999999</v>
      </c>
      <c r="G64" s="162">
        <f t="shared" si="12"/>
        <v>47643.639999999992</v>
      </c>
      <c r="H64" s="162">
        <f t="shared" si="12"/>
        <v>48834.730999999985</v>
      </c>
      <c r="I64" s="162">
        <f t="shared" si="12"/>
        <v>50006.764543999991</v>
      </c>
      <c r="J64" s="162">
        <f t="shared" si="12"/>
        <v>51206.926893055992</v>
      </c>
      <c r="K64" s="162">
        <f t="shared" si="12"/>
        <v>52333.479284703229</v>
      </c>
      <c r="L64" s="162">
        <f t="shared" si="12"/>
        <v>53641.81626682081</v>
      </c>
      <c r="M64" s="162">
        <f t="shared" si="12"/>
        <v>54982.861673491323</v>
      </c>
      <c r="N64" s="162">
        <f t="shared" si="12"/>
        <v>56357.433215328594</v>
      </c>
      <c r="O64" s="162">
        <f t="shared" si="12"/>
        <v>57766.369045711806</v>
      </c>
      <c r="P64" s="162">
        <f t="shared" si="12"/>
        <v>59210.5282718546</v>
      </c>
    </row>
    <row r="65" spans="1:16" x14ac:dyDescent="0.25">
      <c r="A65" s="152" t="s">
        <v>135</v>
      </c>
      <c r="B65" s="163"/>
      <c r="C65" s="170"/>
      <c r="D65" s="163"/>
      <c r="E65" s="163"/>
      <c r="F65" s="162">
        <f t="shared" ref="F65:P65" si="13">SUM(F52:F53)</f>
        <v>145255</v>
      </c>
      <c r="G65" s="162">
        <f t="shared" si="13"/>
        <v>148886.375</v>
      </c>
      <c r="H65" s="162">
        <f t="shared" si="13"/>
        <v>152608.53437499999</v>
      </c>
      <c r="I65" s="162">
        <f t="shared" si="13"/>
        <v>156271.13920000001</v>
      </c>
      <c r="J65" s="162">
        <f t="shared" si="13"/>
        <v>160021.64654079999</v>
      </c>
      <c r="K65" s="162">
        <f t="shared" si="13"/>
        <v>163542.12276469759</v>
      </c>
      <c r="L65" s="162">
        <f t="shared" si="13"/>
        <v>167630.67583381501</v>
      </c>
      <c r="M65" s="162">
        <f t="shared" si="13"/>
        <v>171821.44272966037</v>
      </c>
      <c r="N65" s="162">
        <f t="shared" si="13"/>
        <v>176116.97879790183</v>
      </c>
      <c r="O65" s="162">
        <f t="shared" si="13"/>
        <v>180519.90326784938</v>
      </c>
      <c r="P65" s="162">
        <f t="shared" si="13"/>
        <v>185032.90084954558</v>
      </c>
    </row>
  </sheetData>
  <mergeCells count="1">
    <mergeCell ref="E1:P1"/>
  </mergeCells>
  <pageMargins left="0.7" right="0.7" top="0.75" bottom="0.75" header="0.3" footer="0.3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P44"/>
  <sheetViews>
    <sheetView tabSelected="1" zoomScale="85" zoomScaleNormal="85" workbookViewId="0">
      <selection activeCell="C22" sqref="C22"/>
    </sheetView>
  </sheetViews>
  <sheetFormatPr defaultRowHeight="15" x14ac:dyDescent="0.25"/>
  <cols>
    <col min="14" max="14" width="8.85546875" style="5"/>
    <col min="15" max="15" width="9.140625" style="5" customWidth="1"/>
    <col min="16" max="16" width="8.85546875" style="5"/>
    <col min="19" max="20" width="8.85546875" style="43"/>
    <col min="21" max="21" width="10.140625" style="43" bestFit="1" customWidth="1"/>
    <col min="24" max="24" width="10.85546875" bestFit="1" customWidth="1"/>
    <col min="25" max="25" width="8.85546875" style="43"/>
    <col min="27" max="27" width="9.5703125" style="43" bestFit="1" customWidth="1"/>
    <col min="28" max="30" width="8.85546875" style="43"/>
    <col min="31" max="31" width="9.140625" bestFit="1" customWidth="1"/>
  </cols>
  <sheetData>
    <row r="1" spans="1:39" ht="15.75" thickBot="1" x14ac:dyDescent="0.3">
      <c r="AE1" s="361" t="s">
        <v>53</v>
      </c>
      <c r="AF1" s="362"/>
      <c r="AG1" s="49"/>
      <c r="AH1" s="363" t="s">
        <v>54</v>
      </c>
      <c r="AI1" s="364"/>
    </row>
    <row r="2" spans="1:39" ht="14.45" customHeight="1" thickBot="1" x14ac:dyDescent="0.3">
      <c r="A2" s="301" t="s">
        <v>163</v>
      </c>
      <c r="B2" s="302"/>
      <c r="C2" s="305">
        <f>'Dane źródłowe'!D29</f>
        <v>238.5</v>
      </c>
      <c r="D2" s="378" t="s">
        <v>147</v>
      </c>
      <c r="E2" s="379"/>
      <c r="F2" s="305">
        <v>4</v>
      </c>
      <c r="G2" s="325" t="s">
        <v>29</v>
      </c>
      <c r="H2" s="326"/>
      <c r="I2" s="331">
        <f>C4</f>
        <v>0.27</v>
      </c>
      <c r="J2" s="369" t="s">
        <v>170</v>
      </c>
      <c r="K2" s="370"/>
      <c r="L2" s="375">
        <f>'Dane źródłowe'!F29/1000000</f>
        <v>297.2</v>
      </c>
      <c r="M2" s="316" t="s">
        <v>77</v>
      </c>
      <c r="N2" s="317"/>
      <c r="O2" s="322">
        <v>0.02</v>
      </c>
      <c r="P2" s="316" t="s">
        <v>68</v>
      </c>
      <c r="Q2" s="317"/>
      <c r="R2" s="305">
        <v>209</v>
      </c>
      <c r="S2" s="316" t="s">
        <v>165</v>
      </c>
      <c r="T2" s="317"/>
      <c r="U2" s="305">
        <v>16</v>
      </c>
      <c r="V2" s="316" t="s">
        <v>138</v>
      </c>
      <c r="W2" s="317"/>
      <c r="X2" s="305">
        <v>1</v>
      </c>
      <c r="AE2" s="45" t="str">
        <f t="array" ref="AE2:AF15">TRANSPOSE(A21:N22)</f>
        <v xml:space="preserve">2025 r. </v>
      </c>
      <c r="AF2" s="46">
        <v>3.9E-2</v>
      </c>
      <c r="AG2" s="49"/>
      <c r="AH2" s="45" t="str">
        <f t="array" ref="AH2:AI15">TRANSPOSE(A25:N26)</f>
        <v xml:space="preserve">2025 r. </v>
      </c>
      <c r="AI2" s="46">
        <v>2.5999999999999999E-2</v>
      </c>
    </row>
    <row r="3" spans="1:39" ht="14.45" customHeight="1" x14ac:dyDescent="0.25">
      <c r="A3" s="303"/>
      <c r="B3" s="304"/>
      <c r="C3" s="306"/>
      <c r="D3" s="380"/>
      <c r="E3" s="381"/>
      <c r="F3" s="306"/>
      <c r="G3" s="327"/>
      <c r="H3" s="328"/>
      <c r="I3" s="332"/>
      <c r="J3" s="371"/>
      <c r="K3" s="372"/>
      <c r="L3" s="376"/>
      <c r="M3" s="318"/>
      <c r="N3" s="319"/>
      <c r="O3" s="323"/>
      <c r="P3" s="318"/>
      <c r="Q3" s="319"/>
      <c r="R3" s="306"/>
      <c r="S3" s="318"/>
      <c r="T3" s="319"/>
      <c r="U3" s="306"/>
      <c r="V3" s="318"/>
      <c r="W3" s="319"/>
      <c r="X3" s="306"/>
      <c r="AB3" s="91"/>
      <c r="AC3" s="93"/>
      <c r="AD3" s="93"/>
      <c r="AE3" s="45" t="str">
        <v xml:space="preserve">2026 r. </v>
      </c>
      <c r="AF3" s="46">
        <v>3.5999999999999997E-2</v>
      </c>
      <c r="AG3" s="49"/>
      <c r="AH3" s="45" t="str">
        <v xml:space="preserve">2026 r. </v>
      </c>
      <c r="AI3" s="46">
        <v>2.5000000000000001E-2</v>
      </c>
      <c r="AK3" s="365" t="s">
        <v>140</v>
      </c>
      <c r="AL3" s="366"/>
      <c r="AM3" s="265">
        <v>46388</v>
      </c>
    </row>
    <row r="4" spans="1:39" ht="18" customHeight="1" thickBot="1" x14ac:dyDescent="0.3">
      <c r="A4" s="307" t="s">
        <v>76</v>
      </c>
      <c r="B4" s="308"/>
      <c r="C4" s="187">
        <v>0.27</v>
      </c>
      <c r="D4" s="382"/>
      <c r="E4" s="383"/>
      <c r="F4" s="315"/>
      <c r="G4" s="329"/>
      <c r="H4" s="330"/>
      <c r="I4" s="333"/>
      <c r="J4" s="373"/>
      <c r="K4" s="374"/>
      <c r="L4" s="377"/>
      <c r="M4" s="320"/>
      <c r="N4" s="321"/>
      <c r="O4" s="324"/>
      <c r="P4" s="320"/>
      <c r="Q4" s="321"/>
      <c r="R4" s="315"/>
      <c r="S4" s="320" t="s">
        <v>55</v>
      </c>
      <c r="T4" s="321"/>
      <c r="U4" s="50">
        <f>'Koszty osobowe'!D5</f>
        <v>13713.556999999999</v>
      </c>
      <c r="V4" s="320" t="s">
        <v>55</v>
      </c>
      <c r="W4" s="321"/>
      <c r="X4" s="50">
        <f>'Koszty osobowe'!D23</f>
        <v>13713.556999999999</v>
      </c>
      <c r="AB4" s="89"/>
      <c r="AC4" s="94"/>
      <c r="AD4" s="94"/>
      <c r="AE4" s="45" t="str">
        <v xml:space="preserve">2027 r. </v>
      </c>
      <c r="AF4" s="46">
        <v>3.1E-2</v>
      </c>
      <c r="AG4" s="49"/>
      <c r="AH4" s="45" t="str">
        <v xml:space="preserve">2027 r. </v>
      </c>
      <c r="AI4" s="46">
        <v>2.5000000000000001E-2</v>
      </c>
      <c r="AK4" s="367"/>
      <c r="AL4" s="368"/>
      <c r="AM4" s="182">
        <f>(AM3-L9)/365</f>
        <v>0</v>
      </c>
    </row>
    <row r="5" spans="1:39" ht="17.45" customHeight="1" thickBot="1" x14ac:dyDescent="0.3">
      <c r="A5" s="309" t="s">
        <v>148</v>
      </c>
      <c r="B5" s="310"/>
      <c r="C5" s="305">
        <v>15</v>
      </c>
      <c r="D5" s="393" t="s">
        <v>75</v>
      </c>
      <c r="E5" s="394"/>
      <c r="F5" s="399">
        <v>2.7</v>
      </c>
      <c r="G5" s="325" t="s">
        <v>30</v>
      </c>
      <c r="H5" s="326"/>
      <c r="I5" s="331">
        <f>I2/5</f>
        <v>5.4000000000000006E-2</v>
      </c>
      <c r="J5" s="402" t="s">
        <v>67</v>
      </c>
      <c r="K5" s="403"/>
      <c r="L5" s="331">
        <v>0.8</v>
      </c>
      <c r="M5" s="316" t="s">
        <v>149</v>
      </c>
      <c r="N5" s="317"/>
      <c r="O5" s="322">
        <v>0.25</v>
      </c>
      <c r="P5" s="316" t="s">
        <v>71</v>
      </c>
      <c r="Q5" s="317"/>
      <c r="R5" s="305">
        <v>3</v>
      </c>
      <c r="S5" s="389" t="s">
        <v>116</v>
      </c>
      <c r="T5" s="390"/>
      <c r="U5" s="305">
        <v>1</v>
      </c>
      <c r="V5" s="316" t="s">
        <v>160</v>
      </c>
      <c r="W5" s="317"/>
      <c r="X5" s="386">
        <v>0.94799999999999995</v>
      </c>
      <c r="AB5" s="92"/>
      <c r="AC5" s="92"/>
      <c r="AD5" s="92"/>
      <c r="AE5" s="45" t="str">
        <v xml:space="preserve">2028 r. </v>
      </c>
      <c r="AF5" s="46">
        <v>2.9000000000000001E-2</v>
      </c>
      <c r="AG5" s="49"/>
      <c r="AH5" s="45" t="str">
        <v xml:space="preserve">2028 r. </v>
      </c>
      <c r="AI5" s="46">
        <v>2.4E-2</v>
      </c>
      <c r="AK5" s="384" t="s">
        <v>152</v>
      </c>
      <c r="AL5" s="385"/>
      <c r="AM5" s="183">
        <f>FLOOR(12*AM4,1)</f>
        <v>0</v>
      </c>
    </row>
    <row r="6" spans="1:39" ht="17.45" customHeight="1" x14ac:dyDescent="0.25">
      <c r="A6" s="311"/>
      <c r="B6" s="312"/>
      <c r="C6" s="306"/>
      <c r="D6" s="395"/>
      <c r="E6" s="396"/>
      <c r="F6" s="400"/>
      <c r="G6" s="327"/>
      <c r="H6" s="328"/>
      <c r="I6" s="332"/>
      <c r="J6" s="404"/>
      <c r="K6" s="405"/>
      <c r="L6" s="332"/>
      <c r="M6" s="318"/>
      <c r="N6" s="319"/>
      <c r="O6" s="323"/>
      <c r="P6" s="318"/>
      <c r="Q6" s="319"/>
      <c r="R6" s="306"/>
      <c r="S6" s="391"/>
      <c r="T6" s="392"/>
      <c r="U6" s="306"/>
      <c r="V6" s="318"/>
      <c r="W6" s="319"/>
      <c r="X6" s="387"/>
      <c r="AB6" s="92"/>
      <c r="AC6" s="92"/>
      <c r="AD6" s="92"/>
      <c r="AE6" s="45" t="str">
        <v xml:space="preserve">2029 r. </v>
      </c>
      <c r="AF6" s="46">
        <v>2.5999999999999999E-2</v>
      </c>
      <c r="AG6" s="49"/>
      <c r="AH6" s="45" t="str">
        <v xml:space="preserve">2029 r. </v>
      </c>
      <c r="AI6" s="46">
        <v>2.4E-2</v>
      </c>
    </row>
    <row r="7" spans="1:39" ht="18" customHeight="1" thickBot="1" x14ac:dyDescent="0.3">
      <c r="A7" s="313"/>
      <c r="B7" s="314"/>
      <c r="C7" s="315"/>
      <c r="D7" s="397"/>
      <c r="E7" s="398"/>
      <c r="F7" s="401"/>
      <c r="G7" s="329"/>
      <c r="H7" s="330"/>
      <c r="I7" s="333"/>
      <c r="J7" s="406"/>
      <c r="K7" s="407"/>
      <c r="L7" s="333"/>
      <c r="M7" s="320"/>
      <c r="N7" s="321"/>
      <c r="O7" s="324"/>
      <c r="P7" s="320"/>
      <c r="Q7" s="321"/>
      <c r="R7" s="315"/>
      <c r="S7" s="320" t="s">
        <v>55</v>
      </c>
      <c r="T7" s="321"/>
      <c r="U7" s="50">
        <f>'Koszty osobowe'!D45</f>
        <v>25000</v>
      </c>
      <c r="V7" s="320"/>
      <c r="W7" s="321"/>
      <c r="X7" s="388"/>
      <c r="AB7" s="92"/>
      <c r="AC7" s="92"/>
      <c r="AD7" s="92"/>
      <c r="AE7" s="45" t="str">
        <v xml:space="preserve">2030 r. </v>
      </c>
      <c r="AF7" s="46">
        <v>2.1999999999999999E-2</v>
      </c>
      <c r="AG7" s="49"/>
      <c r="AH7" s="45" t="str">
        <v xml:space="preserve">2030 r. </v>
      </c>
      <c r="AI7" s="46">
        <v>2.1999999999999999E-2</v>
      </c>
    </row>
    <row r="8" spans="1:39" ht="19.5" thickBot="1" x14ac:dyDescent="0.3">
      <c r="A8" s="51"/>
      <c r="B8" s="51"/>
      <c r="C8" s="86"/>
      <c r="D8" s="119"/>
      <c r="E8" s="119"/>
      <c r="F8" s="87"/>
      <c r="G8" s="119"/>
      <c r="H8" s="119"/>
      <c r="I8" s="87"/>
      <c r="J8" s="192"/>
      <c r="K8" s="192"/>
      <c r="L8" s="86"/>
      <c r="M8" s="192"/>
      <c r="N8" s="192"/>
      <c r="O8" s="87"/>
      <c r="P8" s="192"/>
      <c r="Q8" s="192"/>
      <c r="R8" s="88"/>
      <c r="S8" s="192"/>
      <c r="T8" s="192"/>
      <c r="U8" s="88"/>
      <c r="V8" s="88"/>
      <c r="X8" s="43"/>
      <c r="AE8" s="45" t="str">
        <v xml:space="preserve">2031 r. </v>
      </c>
      <c r="AF8" s="46">
        <v>2.9000000000000001E-2</v>
      </c>
      <c r="AG8" s="49"/>
      <c r="AH8" s="45" t="str">
        <v xml:space="preserve">2031 r. </v>
      </c>
      <c r="AI8" s="46">
        <v>2.5000000000000001E-2</v>
      </c>
    </row>
    <row r="9" spans="1:39" ht="18" customHeight="1" x14ac:dyDescent="0.25">
      <c r="A9" s="309" t="s">
        <v>70</v>
      </c>
      <c r="B9" s="310"/>
      <c r="C9" s="305">
        <f>ROUNDUP(C2*C4,0)</f>
        <v>65</v>
      </c>
      <c r="D9" s="301" t="s">
        <v>122</v>
      </c>
      <c r="E9" s="302"/>
      <c r="F9" s="305">
        <v>1727</v>
      </c>
      <c r="G9" s="301" t="s">
        <v>123</v>
      </c>
      <c r="H9" s="302"/>
      <c r="I9" s="322">
        <v>0.1</v>
      </c>
      <c r="J9" s="301" t="s">
        <v>139</v>
      </c>
      <c r="K9" s="302"/>
      <c r="L9" s="356">
        <v>46388</v>
      </c>
      <c r="M9" s="192"/>
      <c r="N9" s="192"/>
      <c r="O9" s="87"/>
      <c r="P9" s="192"/>
      <c r="Q9" s="192"/>
      <c r="R9" s="88"/>
      <c r="V9" s="43"/>
      <c r="X9" s="43"/>
      <c r="AE9" s="45" t="str">
        <v xml:space="preserve">2032 r. </v>
      </c>
      <c r="AF9" s="46">
        <v>2.8000000000000001E-2</v>
      </c>
      <c r="AG9" s="49"/>
      <c r="AH9" s="45" t="str">
        <v xml:space="preserve">2032 r. </v>
      </c>
      <c r="AI9" s="46">
        <v>2.5000000000000001E-2</v>
      </c>
    </row>
    <row r="10" spans="1:39" ht="24" customHeight="1" thickBot="1" x14ac:dyDescent="0.3">
      <c r="A10" s="313"/>
      <c r="B10" s="314"/>
      <c r="C10" s="315"/>
      <c r="D10" s="354"/>
      <c r="E10" s="355"/>
      <c r="F10" s="315"/>
      <c r="G10" s="354"/>
      <c r="H10" s="355"/>
      <c r="I10" s="324"/>
      <c r="J10" s="354"/>
      <c r="K10" s="355"/>
      <c r="L10" s="357"/>
      <c r="M10" s="192"/>
      <c r="N10" s="192"/>
      <c r="O10" s="87"/>
      <c r="P10" s="192"/>
      <c r="Q10" s="192"/>
      <c r="R10" s="43"/>
      <c r="V10" s="43"/>
      <c r="X10" s="43"/>
      <c r="AE10" s="45" t="str">
        <v xml:space="preserve">2033 r. </v>
      </c>
      <c r="AF10" s="46">
        <v>2.7E-2</v>
      </c>
      <c r="AG10" s="49"/>
      <c r="AH10" s="45" t="str">
        <v xml:space="preserve">2033 r. </v>
      </c>
      <c r="AI10" s="46">
        <v>2.5000000000000001E-2</v>
      </c>
    </row>
    <row r="11" spans="1:39" ht="15.75" thickBot="1" x14ac:dyDescent="0.3">
      <c r="AE11" s="45" t="str">
        <v xml:space="preserve">2034 r. </v>
      </c>
      <c r="AF11" s="46">
        <v>2.4E-2</v>
      </c>
      <c r="AG11" s="49"/>
      <c r="AH11" s="45" t="str">
        <v xml:space="preserve">2034 r. </v>
      </c>
      <c r="AI11" s="46">
        <v>2.5000000000000001E-2</v>
      </c>
    </row>
    <row r="12" spans="1:39" x14ac:dyDescent="0.25">
      <c r="A12" s="358" t="s">
        <v>38</v>
      </c>
      <c r="B12" s="359"/>
      <c r="C12" s="359"/>
      <c r="D12" s="359"/>
      <c r="E12" s="359"/>
      <c r="F12" s="359"/>
      <c r="G12" s="359"/>
      <c r="H12" s="359"/>
      <c r="I12" s="359"/>
      <c r="J12" s="359"/>
      <c r="K12" s="359"/>
      <c r="L12" s="359"/>
      <c r="M12" s="359"/>
      <c r="N12" s="360"/>
      <c r="O12" s="9"/>
      <c r="P12" s="342" t="s">
        <v>45</v>
      </c>
      <c r="Q12" s="343"/>
      <c r="R12" s="343"/>
      <c r="S12" s="343"/>
      <c r="T12" s="344"/>
      <c r="AE12" s="45" t="str">
        <v xml:space="preserve">2035 r. </v>
      </c>
      <c r="AF12" s="46">
        <v>2.4E-2</v>
      </c>
      <c r="AG12" s="49"/>
      <c r="AH12" s="45" t="str">
        <v xml:space="preserve">2035 r. </v>
      </c>
      <c r="AI12" s="46">
        <v>2.5000000000000001E-2</v>
      </c>
    </row>
    <row r="13" spans="1:39" x14ac:dyDescent="0.25">
      <c r="A13" s="258" t="s">
        <v>33</v>
      </c>
      <c r="B13" s="249" t="s">
        <v>34</v>
      </c>
      <c r="C13" s="250" t="s">
        <v>35</v>
      </c>
      <c r="D13" s="250" t="s">
        <v>36</v>
      </c>
      <c r="E13" s="250" t="s">
        <v>37</v>
      </c>
      <c r="F13" s="250" t="s">
        <v>117</v>
      </c>
      <c r="G13" s="250" t="s">
        <v>136</v>
      </c>
      <c r="H13" s="250" t="s">
        <v>137</v>
      </c>
      <c r="I13" s="250" t="s">
        <v>153</v>
      </c>
      <c r="J13" s="250" t="s">
        <v>154</v>
      </c>
      <c r="K13" s="250" t="s">
        <v>156</v>
      </c>
      <c r="L13" s="250" t="s">
        <v>157</v>
      </c>
      <c r="M13" s="250" t="s">
        <v>158</v>
      </c>
      <c r="N13" s="251" t="s">
        <v>184</v>
      </c>
      <c r="O13" s="256" t="s">
        <v>187</v>
      </c>
      <c r="P13" s="58" t="s">
        <v>46</v>
      </c>
      <c r="Q13" s="55"/>
      <c r="R13" s="57"/>
      <c r="S13" s="56"/>
      <c r="T13" s="171">
        <f>U2</f>
        <v>16</v>
      </c>
      <c r="V13" s="172"/>
      <c r="AE13" s="45" t="str">
        <v xml:space="preserve">2036 r. </v>
      </c>
      <c r="AF13" s="46">
        <v>2.3E-2</v>
      </c>
      <c r="AG13" s="49"/>
      <c r="AH13" s="45" t="str">
        <v xml:space="preserve">2036 r. </v>
      </c>
      <c r="AI13" s="46">
        <v>2.5000000000000001E-2</v>
      </c>
    </row>
    <row r="14" spans="1:39" ht="15.75" thickBot="1" x14ac:dyDescent="0.3">
      <c r="A14" s="259">
        <f>$L$2*(1+B$22)</f>
        <v>307.89920000000001</v>
      </c>
      <c r="B14" s="247">
        <f t="shared" ref="B14:N14" si="0">A14*(1+C22)</f>
        <v>317.44407519999999</v>
      </c>
      <c r="C14" s="247">
        <f t="shared" si="0"/>
        <v>326.64995338079996</v>
      </c>
      <c r="D14" s="247">
        <f t="shared" si="0"/>
        <v>335.14285216870076</v>
      </c>
      <c r="E14" s="247">
        <f t="shared" si="0"/>
        <v>342.51599491641218</v>
      </c>
      <c r="F14" s="247">
        <f t="shared" si="0"/>
        <v>352.44895876898812</v>
      </c>
      <c r="G14" s="247">
        <f t="shared" si="0"/>
        <v>362.3175296145198</v>
      </c>
      <c r="H14" s="247">
        <f t="shared" si="0"/>
        <v>372.1001029141118</v>
      </c>
      <c r="I14" s="247">
        <f t="shared" si="0"/>
        <v>381.03050538405051</v>
      </c>
      <c r="J14" s="247">
        <f t="shared" si="0"/>
        <v>390.17523751326775</v>
      </c>
      <c r="K14" s="247">
        <f t="shared" si="0"/>
        <v>399.14926797607285</v>
      </c>
      <c r="L14" s="247">
        <f t="shared" si="0"/>
        <v>407.53140260357037</v>
      </c>
      <c r="M14" s="247">
        <f t="shared" si="0"/>
        <v>414.86696785043466</v>
      </c>
      <c r="N14" s="247">
        <f t="shared" si="0"/>
        <v>421.08997236819113</v>
      </c>
      <c r="O14" s="247">
        <f>N14*(1+0.012)</f>
        <v>426.14305203660945</v>
      </c>
      <c r="P14" s="53" t="s">
        <v>47</v>
      </c>
      <c r="Q14" s="52"/>
      <c r="R14" s="59"/>
      <c r="S14" s="60"/>
      <c r="T14" s="54">
        <v>0</v>
      </c>
      <c r="AE14" s="45" t="str">
        <v xml:space="preserve">2037 r. </v>
      </c>
      <c r="AF14" s="46">
        <v>2.1000000000000001E-2</v>
      </c>
      <c r="AG14" s="49"/>
      <c r="AH14" s="45" t="str">
        <v xml:space="preserve">2037 r. </v>
      </c>
      <c r="AI14" s="46">
        <v>2.5000000000000001E-2</v>
      </c>
    </row>
    <row r="15" spans="1:39" ht="15" customHeight="1" thickBot="1" x14ac:dyDescent="0.3">
      <c r="A15" s="132"/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P15" s="53" t="s">
        <v>48</v>
      </c>
      <c r="Q15" s="52"/>
      <c r="R15" s="59"/>
      <c r="S15" s="60"/>
      <c r="T15" s="54">
        <v>0</v>
      </c>
      <c r="AE15" s="47" t="str">
        <v xml:space="preserve">2038 r. </v>
      </c>
      <c r="AF15" s="48">
        <v>1.7999999999999999E-2</v>
      </c>
      <c r="AG15" s="49"/>
      <c r="AH15" s="47" t="str">
        <v xml:space="preserve">2038 r. </v>
      </c>
      <c r="AI15" s="48">
        <v>2.5000000000000001E-2</v>
      </c>
    </row>
    <row r="16" spans="1:39" ht="15.75" thickBot="1" x14ac:dyDescent="0.3">
      <c r="A16" s="358" t="s">
        <v>39</v>
      </c>
      <c r="B16" s="359"/>
      <c r="C16" s="359"/>
      <c r="D16" s="359"/>
      <c r="E16" s="359"/>
      <c r="F16" s="359"/>
      <c r="G16" s="359"/>
      <c r="H16" s="359"/>
      <c r="I16" s="359"/>
      <c r="J16" s="359"/>
      <c r="K16" s="359"/>
      <c r="L16" s="359"/>
      <c r="M16" s="359"/>
      <c r="N16" s="360"/>
      <c r="P16" s="61" t="s">
        <v>49</v>
      </c>
      <c r="Q16" s="62"/>
      <c r="R16" s="63"/>
      <c r="S16" s="64"/>
      <c r="T16" s="65">
        <f>SUM(T13:T15)</f>
        <v>16</v>
      </c>
    </row>
    <row r="17" spans="1:42" x14ac:dyDescent="0.25">
      <c r="A17" s="258" t="s">
        <v>33</v>
      </c>
      <c r="B17" s="249" t="s">
        <v>34</v>
      </c>
      <c r="C17" s="250" t="s">
        <v>35</v>
      </c>
      <c r="D17" s="250" t="s">
        <v>36</v>
      </c>
      <c r="E17" s="250" t="s">
        <v>37</v>
      </c>
      <c r="F17" s="250" t="s">
        <v>117</v>
      </c>
      <c r="G17" s="250" t="s">
        <v>136</v>
      </c>
      <c r="H17" s="250" t="s">
        <v>137</v>
      </c>
      <c r="I17" s="250" t="s">
        <v>153</v>
      </c>
      <c r="J17" s="250" t="s">
        <v>154</v>
      </c>
      <c r="K17" s="250" t="s">
        <v>156</v>
      </c>
      <c r="L17" s="250" t="s">
        <v>157</v>
      </c>
      <c r="M17" s="250" t="s">
        <v>158</v>
      </c>
      <c r="N17" s="251" t="s">
        <v>184</v>
      </c>
      <c r="O17" s="256" t="s">
        <v>187</v>
      </c>
      <c r="P17" s="345" t="s">
        <v>145</v>
      </c>
      <c r="Q17" s="346"/>
      <c r="R17" s="347"/>
      <c r="S17" s="67">
        <f>O2</f>
        <v>0.02</v>
      </c>
      <c r="T17" s="66">
        <f>R2*S17</f>
        <v>4.18</v>
      </c>
      <c r="AE17" s="334" t="s">
        <v>65</v>
      </c>
      <c r="AF17" s="335"/>
      <c r="AG17" s="335"/>
      <c r="AH17" s="335"/>
      <c r="AI17" s="335"/>
      <c r="AJ17" s="335"/>
      <c r="AK17" s="335"/>
      <c r="AL17" s="335"/>
      <c r="AM17" s="335"/>
      <c r="AN17" s="335"/>
      <c r="AO17" s="335"/>
      <c r="AP17" s="336"/>
    </row>
    <row r="18" spans="1:42" ht="15.75" thickBot="1" x14ac:dyDescent="0.3">
      <c r="A18" s="260" t="s">
        <v>40</v>
      </c>
      <c r="B18" s="247">
        <f>B14*$I$2*I5</f>
        <v>4.6283346164160006</v>
      </c>
      <c r="C18" s="247">
        <f>C14*$I$2</f>
        <v>88.195487412815993</v>
      </c>
      <c r="D18" s="247">
        <f t="shared" ref="D18:M18" si="1">D14*$I$2</f>
        <v>90.488570085549213</v>
      </c>
      <c r="E18" s="247">
        <f t="shared" si="1"/>
        <v>92.479318627431297</v>
      </c>
      <c r="F18" s="247">
        <f t="shared" si="1"/>
        <v>95.1612188676268</v>
      </c>
      <c r="G18" s="247">
        <f t="shared" si="1"/>
        <v>97.825732995920347</v>
      </c>
      <c r="H18" s="247">
        <f t="shared" si="1"/>
        <v>100.46702778681019</v>
      </c>
      <c r="I18" s="247">
        <f t="shared" si="1"/>
        <v>102.87823645369365</v>
      </c>
      <c r="J18" s="247">
        <f t="shared" si="1"/>
        <v>105.3473141285823</v>
      </c>
      <c r="K18" s="247">
        <f t="shared" si="1"/>
        <v>107.77030235353968</v>
      </c>
      <c r="L18" s="247">
        <f t="shared" si="1"/>
        <v>110.033478702964</v>
      </c>
      <c r="M18" s="247">
        <f t="shared" si="1"/>
        <v>112.01408131961736</v>
      </c>
      <c r="N18" s="247">
        <f>N14*$I$2</f>
        <v>113.69429253941161</v>
      </c>
      <c r="O18" s="247">
        <f>O14*$I$2</f>
        <v>115.05862404988456</v>
      </c>
      <c r="P18" s="340" t="s">
        <v>50</v>
      </c>
      <c r="Q18" s="341"/>
      <c r="R18" s="341"/>
      <c r="S18" s="341"/>
      <c r="T18" s="68" t="s">
        <v>44</v>
      </c>
      <c r="AE18" s="262"/>
      <c r="AF18" s="263">
        <v>2027</v>
      </c>
      <c r="AG18" s="263">
        <v>2028</v>
      </c>
      <c r="AH18" s="263">
        <v>2029</v>
      </c>
      <c r="AI18" s="263">
        <v>2030</v>
      </c>
      <c r="AJ18" s="263">
        <v>2031</v>
      </c>
      <c r="AK18" s="263">
        <v>2032</v>
      </c>
      <c r="AL18" s="263">
        <v>2033</v>
      </c>
      <c r="AM18" s="263">
        <v>2034</v>
      </c>
      <c r="AN18" s="263">
        <v>2035</v>
      </c>
      <c r="AO18" s="263">
        <v>2036</v>
      </c>
      <c r="AP18" s="264">
        <v>2037</v>
      </c>
    </row>
    <row r="19" spans="1:42" ht="15.75" thickBot="1" x14ac:dyDescent="0.3">
      <c r="A19" s="132"/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P19" s="69" t="s">
        <v>46</v>
      </c>
      <c r="Q19" s="70"/>
      <c r="R19" s="71"/>
      <c r="S19" s="67">
        <v>1</v>
      </c>
      <c r="T19" s="66">
        <f>S19*$T$17</f>
        <v>4.18</v>
      </c>
      <c r="AE19" s="82" t="s">
        <v>64</v>
      </c>
      <c r="AF19" s="83">
        <f t="array" ref="AF19:AP19">TRANSPOSE('Koszty osobowe'!U5:U16)</f>
        <v>3248265.6387072001</v>
      </c>
      <c r="AG19" s="83">
        <v>3577918.2005262845</v>
      </c>
      <c r="AH19" s="83">
        <v>3684944.3067149157</v>
      </c>
      <c r="AI19" s="83">
        <v>3744945.6358511029</v>
      </c>
      <c r="AJ19" s="83">
        <v>3859880.2852236456</v>
      </c>
      <c r="AK19" s="83">
        <v>3933661.2008675365</v>
      </c>
      <c r="AL19" s="83">
        <v>4055286.7246630918</v>
      </c>
      <c r="AM19" s="83">
        <v>4132802.7991614537</v>
      </c>
      <c r="AN19" s="83">
        <v>4260585.61509916</v>
      </c>
      <c r="AO19" s="83">
        <v>4342025.9408690026</v>
      </c>
      <c r="AP19" s="84">
        <v>4476277.7618635539</v>
      </c>
    </row>
    <row r="20" spans="1:42" x14ac:dyDescent="0.25">
      <c r="A20" s="351" t="s">
        <v>31</v>
      </c>
      <c r="B20" s="352"/>
      <c r="C20" s="352"/>
      <c r="D20" s="352"/>
      <c r="E20" s="352"/>
      <c r="F20" s="352"/>
      <c r="G20" s="352"/>
      <c r="H20" s="352"/>
      <c r="I20" s="352"/>
      <c r="J20" s="352"/>
      <c r="K20" s="352"/>
      <c r="L20" s="352"/>
      <c r="M20" s="352"/>
      <c r="N20" s="353"/>
      <c r="P20" s="72" t="s">
        <v>47</v>
      </c>
      <c r="Q20" s="73"/>
      <c r="R20" s="74"/>
      <c r="S20" s="67">
        <v>0</v>
      </c>
      <c r="T20" s="66">
        <f>S20*$T$17</f>
        <v>0</v>
      </c>
      <c r="AE20" s="95" t="s">
        <v>79</v>
      </c>
      <c r="AF20" s="83">
        <f t="array" ref="AF20:AP20">TRANSPOSE('Koszty osobowe'!U23:U34)</f>
        <v>203016.6024192</v>
      </c>
      <c r="AG20" s="83">
        <v>223619.88753289278</v>
      </c>
      <c r="AH20" s="83">
        <v>230309.01916968223</v>
      </c>
      <c r="AI20" s="83">
        <v>234059.10224069393</v>
      </c>
      <c r="AJ20" s="83">
        <v>241242.51782647785</v>
      </c>
      <c r="AK20" s="83">
        <v>245853.82505422103</v>
      </c>
      <c r="AL20" s="83">
        <v>253455.42029144324</v>
      </c>
      <c r="AM20" s="83">
        <v>258300.17494759086</v>
      </c>
      <c r="AN20" s="83">
        <v>266286.6009436975</v>
      </c>
      <c r="AO20" s="83">
        <v>271376.62130431266</v>
      </c>
      <c r="AP20" s="84">
        <v>279767.36011647212</v>
      </c>
    </row>
    <row r="21" spans="1:42" ht="15.75" thickBot="1" x14ac:dyDescent="0.3">
      <c r="A21" s="190" t="s">
        <v>32</v>
      </c>
      <c r="B21" s="31" t="s">
        <v>33</v>
      </c>
      <c r="C21" s="184" t="s">
        <v>34</v>
      </c>
      <c r="D21" s="184" t="s">
        <v>35</v>
      </c>
      <c r="E21" s="184" t="s">
        <v>36</v>
      </c>
      <c r="F21" s="184" t="s">
        <v>37</v>
      </c>
      <c r="G21" s="184" t="s">
        <v>117</v>
      </c>
      <c r="H21" s="184" t="s">
        <v>136</v>
      </c>
      <c r="I21" s="184" t="s">
        <v>137</v>
      </c>
      <c r="J21" s="184" t="s">
        <v>153</v>
      </c>
      <c r="K21" s="184" t="s">
        <v>154</v>
      </c>
      <c r="L21" s="184" t="s">
        <v>156</v>
      </c>
      <c r="M21" s="184" t="s">
        <v>157</v>
      </c>
      <c r="N21" s="29" t="s">
        <v>158</v>
      </c>
      <c r="O21" s="255" t="s">
        <v>185</v>
      </c>
      <c r="P21" s="72" t="s">
        <v>48</v>
      </c>
      <c r="Q21" s="73"/>
      <c r="R21" s="75"/>
      <c r="S21" s="67">
        <v>0</v>
      </c>
      <c r="T21" s="66">
        <f>S21*$T$17</f>
        <v>0</v>
      </c>
      <c r="AE21" s="85" t="s">
        <v>120</v>
      </c>
      <c r="AF21" s="185">
        <f t="array" ref="AF21:AP21">TRANSPOSE('Koszty osobowe'!U45:U56)</f>
        <v>366733.23</v>
      </c>
      <c r="AG21" s="185">
        <v>405181.6275200001</v>
      </c>
      <c r="AH21" s="185">
        <v>416228.24091648008</v>
      </c>
      <c r="AI21" s="185">
        <v>424097.04665645066</v>
      </c>
      <c r="AJ21" s="185">
        <v>435987.63517437543</v>
      </c>
      <c r="AK21" s="185">
        <v>445467.57033581607</v>
      </c>
      <c r="AL21" s="185">
        <v>458059.50920507824</v>
      </c>
      <c r="AM21" s="185">
        <v>468019.36608406674</v>
      </c>
      <c r="AN21" s="185">
        <v>481248.77185858518</v>
      </c>
      <c r="AO21" s="185">
        <v>491712.84649207251</v>
      </c>
      <c r="AP21" s="186">
        <v>505611.99093392584</v>
      </c>
    </row>
    <row r="22" spans="1:42" ht="15.75" thickBot="1" x14ac:dyDescent="0.3">
      <c r="A22" s="188">
        <v>3.9E-2</v>
      </c>
      <c r="B22" s="203">
        <v>3.5999999999999997E-2</v>
      </c>
      <c r="C22" s="203">
        <v>3.1E-2</v>
      </c>
      <c r="D22" s="203">
        <v>2.9000000000000001E-2</v>
      </c>
      <c r="E22" s="205">
        <v>2.5999999999999999E-2</v>
      </c>
      <c r="F22" s="205">
        <v>2.1999999999999999E-2</v>
      </c>
      <c r="G22" s="205">
        <v>2.9000000000000001E-2</v>
      </c>
      <c r="H22" s="205">
        <v>2.8000000000000001E-2</v>
      </c>
      <c r="I22" s="205">
        <v>2.7E-2</v>
      </c>
      <c r="J22" s="205">
        <v>2.4E-2</v>
      </c>
      <c r="K22" s="205">
        <v>2.4E-2</v>
      </c>
      <c r="L22" s="205">
        <v>2.3E-2</v>
      </c>
      <c r="M22" s="205">
        <v>2.1000000000000001E-2</v>
      </c>
      <c r="N22" s="204">
        <v>1.7999999999999999E-2</v>
      </c>
      <c r="O22" s="257">
        <v>1.4999999999999999E-2</v>
      </c>
      <c r="P22" s="76" t="s">
        <v>51</v>
      </c>
      <c r="Q22" s="73"/>
      <c r="R22" s="67"/>
      <c r="S22" s="73"/>
      <c r="T22" s="66"/>
      <c r="W22" s="173"/>
    </row>
    <row r="23" spans="1:42" ht="15.75" thickBot="1" x14ac:dyDescent="0.3">
      <c r="P23" s="337" t="s">
        <v>46</v>
      </c>
      <c r="Q23" s="338"/>
      <c r="R23" s="338"/>
      <c r="S23" s="339"/>
      <c r="T23" s="66">
        <f>T19*T13</f>
        <v>66.88</v>
      </c>
    </row>
    <row r="24" spans="1:42" x14ac:dyDescent="0.25">
      <c r="A24" s="348" t="s">
        <v>52</v>
      </c>
      <c r="B24" s="349"/>
      <c r="C24" s="349"/>
      <c r="D24" s="349"/>
      <c r="E24" s="349"/>
      <c r="F24" s="349"/>
      <c r="G24" s="349"/>
      <c r="H24" s="349"/>
      <c r="I24" s="349"/>
      <c r="J24" s="349"/>
      <c r="K24" s="349"/>
      <c r="L24" s="349"/>
      <c r="M24" s="349"/>
      <c r="N24" s="350"/>
      <c r="P24" s="72" t="s">
        <v>47</v>
      </c>
      <c r="Q24" s="73"/>
      <c r="R24" s="67"/>
      <c r="S24" s="73"/>
      <c r="T24" s="66">
        <f>T20*T14</f>
        <v>0</v>
      </c>
    </row>
    <row r="25" spans="1:42" x14ac:dyDescent="0.25">
      <c r="A25" s="190" t="s">
        <v>32</v>
      </c>
      <c r="B25" s="31" t="s">
        <v>33</v>
      </c>
      <c r="C25" s="184" t="s">
        <v>34</v>
      </c>
      <c r="D25" s="184" t="s">
        <v>35</v>
      </c>
      <c r="E25" s="184" t="s">
        <v>36</v>
      </c>
      <c r="F25" s="184" t="s">
        <v>37</v>
      </c>
      <c r="G25" s="184" t="s">
        <v>117</v>
      </c>
      <c r="H25" s="184" t="s">
        <v>136</v>
      </c>
      <c r="I25" s="184" t="s">
        <v>137</v>
      </c>
      <c r="J25" s="184" t="s">
        <v>153</v>
      </c>
      <c r="K25" s="184" t="s">
        <v>154</v>
      </c>
      <c r="L25" s="184" t="s">
        <v>156</v>
      </c>
      <c r="M25" s="184" t="s">
        <v>157</v>
      </c>
      <c r="N25" s="29" t="s">
        <v>158</v>
      </c>
      <c r="O25" s="255" t="s">
        <v>185</v>
      </c>
      <c r="P25" s="72" t="s">
        <v>48</v>
      </c>
      <c r="Q25" s="73"/>
      <c r="R25" s="67"/>
      <c r="S25" s="73"/>
      <c r="T25" s="66">
        <f>T21*T15</f>
        <v>0</v>
      </c>
    </row>
    <row r="26" spans="1:42" ht="15.75" thickBot="1" x14ac:dyDescent="0.3">
      <c r="A26" s="30">
        <v>2.5999999999999999E-2</v>
      </c>
      <c r="B26" s="203">
        <v>2.5000000000000001E-2</v>
      </c>
      <c r="C26" s="203">
        <v>2.5000000000000001E-2</v>
      </c>
      <c r="D26" s="203">
        <v>2.4E-2</v>
      </c>
      <c r="E26" s="203">
        <v>2.4E-2</v>
      </c>
      <c r="F26" s="203">
        <v>2.1999999999999999E-2</v>
      </c>
      <c r="G26" s="203">
        <v>2.5000000000000001E-2</v>
      </c>
      <c r="H26" s="203">
        <v>2.5000000000000001E-2</v>
      </c>
      <c r="I26" s="203">
        <v>2.5000000000000001E-2</v>
      </c>
      <c r="J26" s="203">
        <v>2.5000000000000001E-2</v>
      </c>
      <c r="K26" s="203">
        <v>2.5000000000000001E-2</v>
      </c>
      <c r="L26" s="203">
        <v>2.5000000000000001E-2</v>
      </c>
      <c r="M26" s="203">
        <v>2.5000000000000001E-2</v>
      </c>
      <c r="N26" s="204">
        <v>2.5000000000000001E-2</v>
      </c>
      <c r="O26" s="257">
        <v>2.5000000000000001E-2</v>
      </c>
      <c r="P26" s="77" t="s">
        <v>61</v>
      </c>
      <c r="Q26" s="78"/>
      <c r="R26" s="79"/>
      <c r="S26" s="80"/>
      <c r="T26" s="81">
        <f>SUM(T23:T25)</f>
        <v>66.88</v>
      </c>
    </row>
    <row r="27" spans="1:42" x14ac:dyDescent="0.25">
      <c r="P27" s="43"/>
      <c r="S27"/>
      <c r="T27"/>
      <c r="U27"/>
    </row>
    <row r="28" spans="1:42" ht="14.45" customHeight="1" x14ac:dyDescent="0.25">
      <c r="O28" s="43"/>
      <c r="P28" s="43"/>
      <c r="S28"/>
      <c r="T28"/>
      <c r="U28"/>
    </row>
    <row r="29" spans="1:42" x14ac:dyDescent="0.25">
      <c r="O29" s="43"/>
      <c r="P29" s="43"/>
      <c r="S29"/>
      <c r="T29"/>
      <c r="U29"/>
    </row>
    <row r="30" spans="1:42" x14ac:dyDescent="0.25">
      <c r="O30" s="43"/>
      <c r="P30" s="43"/>
      <c r="S30"/>
      <c r="T30"/>
      <c r="U30"/>
    </row>
    <row r="31" spans="1:42" x14ac:dyDescent="0.25">
      <c r="O31" s="43"/>
      <c r="P31" s="43"/>
      <c r="S31"/>
      <c r="T31"/>
      <c r="U31"/>
    </row>
    <row r="32" spans="1:42" x14ac:dyDescent="0.25">
      <c r="I32" s="5"/>
      <c r="J32" s="5"/>
      <c r="K32" s="5"/>
      <c r="N32" s="43"/>
      <c r="O32" s="43"/>
      <c r="P32" s="43"/>
      <c r="S32"/>
      <c r="T32"/>
      <c r="U32"/>
    </row>
    <row r="33" spans="9:21" x14ac:dyDescent="0.25">
      <c r="I33" s="5"/>
      <c r="J33" s="5"/>
      <c r="K33" s="5"/>
      <c r="N33" s="43"/>
      <c r="O33" s="43"/>
      <c r="P33" s="43"/>
      <c r="S33"/>
      <c r="T33"/>
      <c r="U33"/>
    </row>
    <row r="34" spans="9:21" x14ac:dyDescent="0.25">
      <c r="I34" s="5"/>
      <c r="J34" s="5"/>
      <c r="K34" s="5"/>
      <c r="N34" s="43"/>
      <c r="O34" s="43"/>
      <c r="P34" s="43"/>
      <c r="S34"/>
      <c r="T34"/>
      <c r="U34"/>
    </row>
    <row r="35" spans="9:21" x14ac:dyDescent="0.25">
      <c r="I35" s="5"/>
      <c r="J35" s="5"/>
      <c r="K35" s="5"/>
      <c r="N35" s="43"/>
      <c r="O35" s="43"/>
      <c r="P35" s="43"/>
      <c r="S35"/>
      <c r="T35"/>
      <c r="U35"/>
    </row>
    <row r="36" spans="9:21" x14ac:dyDescent="0.25">
      <c r="I36" s="5"/>
      <c r="J36" s="5"/>
      <c r="K36" s="5"/>
      <c r="N36" s="43"/>
      <c r="O36" s="43"/>
      <c r="P36" s="43"/>
      <c r="S36"/>
      <c r="T36"/>
      <c r="U36"/>
    </row>
    <row r="37" spans="9:21" x14ac:dyDescent="0.25">
      <c r="I37" s="5"/>
      <c r="J37" s="5"/>
      <c r="K37" s="5"/>
      <c r="N37" s="43"/>
      <c r="O37" s="43"/>
      <c r="P37" s="43"/>
      <c r="S37"/>
      <c r="T37"/>
      <c r="U37"/>
    </row>
    <row r="38" spans="9:21" x14ac:dyDescent="0.25">
      <c r="I38" s="5"/>
      <c r="J38" s="5"/>
      <c r="K38" s="5"/>
      <c r="N38" s="43"/>
      <c r="O38" s="43"/>
      <c r="P38" s="43"/>
      <c r="S38"/>
      <c r="T38"/>
      <c r="U38"/>
    </row>
    <row r="39" spans="9:21" x14ac:dyDescent="0.25">
      <c r="I39" s="5"/>
      <c r="J39" s="5"/>
      <c r="K39" s="5"/>
      <c r="N39" s="43"/>
      <c r="O39" s="43"/>
      <c r="P39" s="43"/>
      <c r="S39"/>
      <c r="T39"/>
      <c r="U39"/>
    </row>
    <row r="40" spans="9:21" x14ac:dyDescent="0.25">
      <c r="I40" s="5"/>
      <c r="J40" s="5"/>
      <c r="K40" s="5"/>
      <c r="N40" s="43"/>
      <c r="O40" s="43"/>
      <c r="P40" s="43"/>
      <c r="S40"/>
      <c r="T40"/>
      <c r="U40"/>
    </row>
    <row r="41" spans="9:21" x14ac:dyDescent="0.25">
      <c r="I41" s="5"/>
      <c r="J41" s="5"/>
      <c r="K41" s="5"/>
      <c r="N41" s="43"/>
      <c r="O41" s="43"/>
      <c r="P41" s="43"/>
      <c r="S41"/>
      <c r="T41"/>
      <c r="U41"/>
    </row>
    <row r="42" spans="9:21" x14ac:dyDescent="0.25">
      <c r="I42" s="5"/>
      <c r="J42" s="5"/>
      <c r="K42" s="5"/>
      <c r="N42" s="43"/>
      <c r="O42" s="43"/>
      <c r="P42" s="43"/>
      <c r="S42"/>
      <c r="T42"/>
      <c r="U42"/>
    </row>
    <row r="43" spans="9:21" x14ac:dyDescent="0.25">
      <c r="I43" s="5"/>
      <c r="J43" s="5"/>
      <c r="K43" s="5"/>
      <c r="N43" s="43"/>
      <c r="O43" s="43"/>
    </row>
    <row r="44" spans="9:21" x14ac:dyDescent="0.25">
      <c r="I44" s="5"/>
      <c r="J44" s="5"/>
      <c r="K44" s="5"/>
      <c r="N44" s="43"/>
    </row>
  </sheetData>
  <mergeCells count="57">
    <mergeCell ref="D2:E4"/>
    <mergeCell ref="P2:Q4"/>
    <mergeCell ref="S2:T3"/>
    <mergeCell ref="S4:T4"/>
    <mergeCell ref="AK5:AL5"/>
    <mergeCell ref="V5:W7"/>
    <mergeCell ref="X5:X7"/>
    <mergeCell ref="P5:Q7"/>
    <mergeCell ref="R5:R7"/>
    <mergeCell ref="U5:U6"/>
    <mergeCell ref="S5:T6"/>
    <mergeCell ref="S7:T7"/>
    <mergeCell ref="D5:E7"/>
    <mergeCell ref="F5:F7"/>
    <mergeCell ref="J5:K7"/>
    <mergeCell ref="L5:L7"/>
    <mergeCell ref="AE1:AF1"/>
    <mergeCell ref="AH1:AI1"/>
    <mergeCell ref="AK3:AL4"/>
    <mergeCell ref="F2:F4"/>
    <mergeCell ref="J2:K4"/>
    <mergeCell ref="X2:X3"/>
    <mergeCell ref="U2:U3"/>
    <mergeCell ref="V4:W4"/>
    <mergeCell ref="R2:R4"/>
    <mergeCell ref="V2:W3"/>
    <mergeCell ref="L2:L4"/>
    <mergeCell ref="M2:N4"/>
    <mergeCell ref="O2:O4"/>
    <mergeCell ref="A24:N24"/>
    <mergeCell ref="A20:N20"/>
    <mergeCell ref="A9:B10"/>
    <mergeCell ref="C9:C10"/>
    <mergeCell ref="D9:E10"/>
    <mergeCell ref="F9:F10"/>
    <mergeCell ref="G9:H10"/>
    <mergeCell ref="I9:I10"/>
    <mergeCell ref="J9:K10"/>
    <mergeCell ref="L9:L10"/>
    <mergeCell ref="A12:N12"/>
    <mergeCell ref="A16:N16"/>
    <mergeCell ref="AE17:AP17"/>
    <mergeCell ref="P23:S23"/>
    <mergeCell ref="P18:S18"/>
    <mergeCell ref="P12:T12"/>
    <mergeCell ref="P17:R17"/>
    <mergeCell ref="M5:N7"/>
    <mergeCell ref="O5:O7"/>
    <mergeCell ref="G2:H4"/>
    <mergeCell ref="I2:I4"/>
    <mergeCell ref="G5:H7"/>
    <mergeCell ref="I5:I7"/>
    <mergeCell ref="A2:B3"/>
    <mergeCell ref="C2:C3"/>
    <mergeCell ref="A4:B4"/>
    <mergeCell ref="A5:B7"/>
    <mergeCell ref="C5:C7"/>
  </mergeCells>
  <phoneticPr fontId="20" type="noConversion"/>
  <conditionalFormatting sqref="T16">
    <cfRule type="cellIs" dxfId="0" priority="6" operator="notEqual">
      <formula>$U$2</formula>
    </cfRule>
  </conditionalFormatting>
  <pageMargins left="0.7" right="0.7" top="0.75" bottom="0.75" header="0.3" footer="0.3"/>
  <pageSetup paperSize="9" orientation="portrait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4"/>
  <sheetViews>
    <sheetView workbookViewId="0">
      <selection activeCell="E14" sqref="E14:O14"/>
    </sheetView>
  </sheetViews>
  <sheetFormatPr defaultRowHeight="15" x14ac:dyDescent="0.25"/>
  <cols>
    <col min="4" max="4" width="9.5703125" bestFit="1" customWidth="1"/>
  </cols>
  <sheetData>
    <row r="1" spans="1:16" ht="15.75" thickBot="1" x14ac:dyDescent="0.3"/>
    <row r="2" spans="1:16" ht="15.75" thickBot="1" x14ac:dyDescent="0.3">
      <c r="C2" s="273" t="s">
        <v>110</v>
      </c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5"/>
    </row>
    <row r="3" spans="1:16" ht="30" x14ac:dyDescent="0.25">
      <c r="C3" s="113"/>
      <c r="D3" s="33">
        <v>0</v>
      </c>
      <c r="E3" s="33">
        <v>1</v>
      </c>
      <c r="F3" s="33">
        <v>2</v>
      </c>
      <c r="G3" s="33">
        <v>3</v>
      </c>
      <c r="H3" s="33">
        <v>4</v>
      </c>
      <c r="I3" s="33">
        <v>5</v>
      </c>
      <c r="J3" s="33">
        <v>6</v>
      </c>
      <c r="K3" s="33">
        <v>7</v>
      </c>
      <c r="L3" s="33">
        <v>8</v>
      </c>
      <c r="M3" s="33">
        <v>9</v>
      </c>
      <c r="N3" s="33">
        <v>10</v>
      </c>
      <c r="O3" s="34" t="s">
        <v>0</v>
      </c>
    </row>
    <row r="4" spans="1:16" ht="45" x14ac:dyDescent="0.25">
      <c r="C4" s="114" t="s">
        <v>1</v>
      </c>
      <c r="D4" s="32">
        <f>-1*'Panel kontrolny'!B18*'Panel kontrolny'!$L$5</f>
        <v>-3.7026676931328009</v>
      </c>
      <c r="E4" s="32">
        <f>-1*'Panel kontrolny'!C18*'Panel kontrolny'!$L$5</f>
        <v>-70.556389930252791</v>
      </c>
      <c r="F4" s="32">
        <f>-1*'Panel kontrolny'!D18*'Panel kontrolny'!$L$5</f>
        <v>-72.390856068439376</v>
      </c>
      <c r="G4" s="32">
        <f>-1*'Panel kontrolny'!E18*'Panel kontrolny'!$L$5</f>
        <v>-73.983454901945038</v>
      </c>
      <c r="H4" s="32">
        <f>-1*'Panel kontrolny'!F18*'Panel kontrolny'!$L$5</f>
        <v>-76.128975094101449</v>
      </c>
      <c r="I4" s="32">
        <f>-1*'Panel kontrolny'!G18*'Panel kontrolny'!$L$5</f>
        <v>-78.260586396736286</v>
      </c>
      <c r="J4" s="32">
        <f>-1*'Panel kontrolny'!H18*'Panel kontrolny'!$L$5</f>
        <v>-80.373622229448159</v>
      </c>
      <c r="K4" s="32">
        <f>-1*'Panel kontrolny'!I18*'Panel kontrolny'!$L$5</f>
        <v>-82.302589162954916</v>
      </c>
      <c r="L4" s="32">
        <f>-1*'Panel kontrolny'!J18*'Panel kontrolny'!$L$5</f>
        <v>-84.277851302865841</v>
      </c>
      <c r="M4" s="32">
        <f>-1*'Panel kontrolny'!K18*'Panel kontrolny'!$L$5</f>
        <v>-86.216241882831753</v>
      </c>
      <c r="N4" s="32">
        <f>-1*'Panel kontrolny'!L18*'Panel kontrolny'!$L$5</f>
        <v>-88.026782962371215</v>
      </c>
      <c r="O4" s="35">
        <f>SUM(D4:N4)</f>
        <v>-796.22001762507989</v>
      </c>
    </row>
    <row r="5" spans="1:16" ht="90.75" thickBot="1" x14ac:dyDescent="0.3">
      <c r="C5" s="115" t="s">
        <v>2</v>
      </c>
      <c r="D5" s="36">
        <f>-1*'Panel kontrolny'!B18*(1-'Panel kontrolny'!$L$5)</f>
        <v>-0.92566692328319988</v>
      </c>
      <c r="E5" s="36">
        <f>-1*'Panel kontrolny'!C18*(1-'Panel kontrolny'!$L$5)</f>
        <v>-17.639097482563194</v>
      </c>
      <c r="F5" s="36">
        <f>-1*'Panel kontrolny'!D18*(1-'Panel kontrolny'!$L$5)</f>
        <v>-18.097714017109837</v>
      </c>
      <c r="G5" s="36">
        <f>-1*'Panel kontrolny'!E18*(1-'Panel kontrolny'!$L$5)</f>
        <v>-18.495863725486256</v>
      </c>
      <c r="H5" s="36">
        <f>-1*'Panel kontrolny'!F18*(1-'Panel kontrolny'!$L$5)</f>
        <v>-19.032243773525355</v>
      </c>
      <c r="I5" s="36">
        <f>-1*'Panel kontrolny'!G18*(1-'Panel kontrolny'!$L$5)</f>
        <v>-19.565146599184065</v>
      </c>
      <c r="J5" s="36">
        <f>-1*'Panel kontrolny'!H18*(1-'Panel kontrolny'!$L$5)</f>
        <v>-20.093405557362033</v>
      </c>
      <c r="K5" s="36">
        <f>-1*'Panel kontrolny'!I18*(1-'Panel kontrolny'!$L$5)</f>
        <v>-20.575647290738726</v>
      </c>
      <c r="L5" s="36">
        <f>-1*'Panel kontrolny'!J18*(1-'Panel kontrolny'!$L$5)</f>
        <v>-21.069462825716453</v>
      </c>
      <c r="M5" s="36">
        <f>-1*'Panel kontrolny'!K18*(1-'Panel kontrolny'!$L$5)</f>
        <v>-21.554060470707931</v>
      </c>
      <c r="N5" s="36">
        <f>-1*'Panel kontrolny'!L18*(1-'Panel kontrolny'!$L$5)</f>
        <v>-22.006695740592797</v>
      </c>
      <c r="O5" s="37">
        <f>SUM(D5:N5)</f>
        <v>-199.0550044062698</v>
      </c>
    </row>
    <row r="10" spans="1:16" ht="15.75" thickBot="1" x14ac:dyDescent="0.3"/>
    <row r="11" spans="1:16" x14ac:dyDescent="0.25">
      <c r="C11" s="408" t="s">
        <v>159</v>
      </c>
      <c r="D11" s="409"/>
      <c r="E11" s="409"/>
      <c r="F11" s="409"/>
      <c r="G11" s="409"/>
      <c r="H11" s="409"/>
      <c r="I11" s="409"/>
      <c r="J11" s="409"/>
      <c r="K11" s="409"/>
      <c r="L11" s="409"/>
      <c r="M11" s="409"/>
      <c r="N11" s="409"/>
      <c r="O11" s="409"/>
      <c r="P11" s="410"/>
    </row>
    <row r="12" spans="1:16" x14ac:dyDescent="0.25">
      <c r="C12" s="248" t="s">
        <v>186</v>
      </c>
      <c r="D12" s="249" t="s">
        <v>34</v>
      </c>
      <c r="E12" s="250" t="s">
        <v>35</v>
      </c>
      <c r="F12" s="250" t="s">
        <v>36</v>
      </c>
      <c r="G12" s="250" t="s">
        <v>37</v>
      </c>
      <c r="H12" s="250" t="s">
        <v>117</v>
      </c>
      <c r="I12" s="250" t="s">
        <v>136</v>
      </c>
      <c r="J12" s="250" t="s">
        <v>137</v>
      </c>
      <c r="K12" s="250" t="s">
        <v>153</v>
      </c>
      <c r="L12" s="250" t="s">
        <v>154</v>
      </c>
      <c r="M12" s="250" t="s">
        <v>156</v>
      </c>
      <c r="N12" s="250" t="s">
        <v>157</v>
      </c>
      <c r="O12" s="250" t="s">
        <v>158</v>
      </c>
      <c r="P12" s="251" t="s">
        <v>184</v>
      </c>
    </row>
    <row r="13" spans="1:16" x14ac:dyDescent="0.25">
      <c r="A13" t="s">
        <v>161</v>
      </c>
      <c r="C13" s="252">
        <f>43.2*(1+'Panel kontrolny'!B22)</f>
        <v>44.755200000000002</v>
      </c>
      <c r="D13" s="253">
        <f>C13*(1+'Panel kontrolny'!C22)</f>
        <v>46.142611199999997</v>
      </c>
      <c r="E13" s="253">
        <f>D13*(1+'Panel kontrolny'!D22)</f>
        <v>47.480746924799995</v>
      </c>
      <c r="F13" s="253">
        <f>E13*(1+'Panel kontrolny'!E22)</f>
        <v>48.715246344844793</v>
      </c>
      <c r="G13" s="253">
        <f>F13*(1+'Panel kontrolny'!F22)</f>
        <v>49.786981764431381</v>
      </c>
      <c r="H13" s="253">
        <f>G13*(1+'Panel kontrolny'!G22)</f>
        <v>51.230804235599884</v>
      </c>
      <c r="I13" s="253">
        <f>H13*(1+'Panel kontrolny'!H22)</f>
        <v>52.665266754196679</v>
      </c>
      <c r="J13" s="253">
        <f>I13*(1+'Panel kontrolny'!I22)</f>
        <v>54.087228956559983</v>
      </c>
      <c r="K13" s="253">
        <f>J13*(1+'Panel kontrolny'!J22)</f>
        <v>55.385322451517425</v>
      </c>
      <c r="L13" s="253">
        <f>K13*(1+'Panel kontrolny'!K22)</f>
        <v>56.714570190353847</v>
      </c>
      <c r="M13" s="253">
        <f>L13*(1+'Panel kontrolny'!L22)</f>
        <v>58.019005304731976</v>
      </c>
      <c r="N13" s="253">
        <f>M13*(1+'Panel kontrolny'!M22)</f>
        <v>59.237404416131341</v>
      </c>
      <c r="O13" s="253">
        <f>N13*(1+'Panel kontrolny'!N22)</f>
        <v>60.303677695621708</v>
      </c>
      <c r="P13" s="254">
        <f>O13*(1+'Panel kontrolny'!O22)</f>
        <v>61.208232861056025</v>
      </c>
    </row>
    <row r="14" spans="1:16" ht="15.75" thickBot="1" x14ac:dyDescent="0.3">
      <c r="A14" t="s">
        <v>162</v>
      </c>
      <c r="C14" s="259">
        <f>C13*('Panel kontrolny'!$X$5*0.12+(1-'Panel kontrolny'!$X$5)*0.32)</f>
        <v>5.8360780800000009</v>
      </c>
      <c r="D14" s="247">
        <f>D13*('Panel kontrolny'!$X$5*0.12+(1-'Panel kontrolny'!$X$5)*0.32)</f>
        <v>6.0169965004800003</v>
      </c>
      <c r="E14" s="247">
        <f>E13*('Panel kontrolny'!$X$5*0.12+(1-'Panel kontrolny'!$X$5)*0.32)</f>
        <v>6.1914893989939204</v>
      </c>
      <c r="F14" s="247">
        <f>F13*('Panel kontrolny'!$X$5*0.12+(1-'Panel kontrolny'!$X$5)*0.32)</f>
        <v>6.3524681233677622</v>
      </c>
      <c r="G14" s="247">
        <f>G13*('Panel kontrolny'!$X$5*0.12+(1-'Panel kontrolny'!$X$5)*0.32)</f>
        <v>6.492222422081853</v>
      </c>
      <c r="H14" s="247">
        <f>H13*('Panel kontrolny'!$X$5*0.12+(1-'Panel kontrolny'!$X$5)*0.32)</f>
        <v>6.6804968723222258</v>
      </c>
      <c r="I14" s="247">
        <f>I13*('Panel kontrolny'!$X$5*0.12+(1-'Panel kontrolny'!$X$5)*0.32)</f>
        <v>6.8675507847472481</v>
      </c>
      <c r="J14" s="247">
        <f>J13*('Panel kontrolny'!$X$5*0.12+(1-'Panel kontrolny'!$X$5)*0.32)</f>
        <v>7.0529746559354223</v>
      </c>
      <c r="K14" s="247">
        <f>K13*('Panel kontrolny'!$X$5*0.12+(1-'Panel kontrolny'!$X$5)*0.32)</f>
        <v>7.2222460476778734</v>
      </c>
      <c r="L14" s="247">
        <f>L13*('Panel kontrolny'!$X$5*0.12+(1-'Panel kontrolny'!$X$5)*0.32)</f>
        <v>7.3955799528221426</v>
      </c>
      <c r="M14" s="247">
        <f>M13*('Panel kontrolny'!$X$5*0.12+(1-'Panel kontrolny'!$X$5)*0.32)</f>
        <v>7.5656782917370506</v>
      </c>
      <c r="N14" s="247">
        <f>N13*('Panel kontrolny'!$X$5*0.12+(1-'Panel kontrolny'!$X$5)*0.32)</f>
        <v>7.7245575358635277</v>
      </c>
      <c r="O14" s="247">
        <f>O13*('Panel kontrolny'!$X$5*0.12+(1-'Panel kontrolny'!$X$5)*0.32)</f>
        <v>7.8635995715090719</v>
      </c>
      <c r="P14" s="261">
        <f>P13*('Panel kontrolny'!$X$5*0.12+(1-'Panel kontrolny'!$X$5)*0.32)</f>
        <v>7.9815535650817067</v>
      </c>
    </row>
  </sheetData>
  <mergeCells count="2">
    <mergeCell ref="C2:O2"/>
    <mergeCell ref="C11:P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4:H42"/>
  <sheetViews>
    <sheetView workbookViewId="0">
      <selection activeCell="F27" sqref="F27"/>
    </sheetView>
  </sheetViews>
  <sheetFormatPr defaultRowHeight="15" x14ac:dyDescent="0.25"/>
  <cols>
    <col min="3" max="3" width="12.140625" customWidth="1"/>
    <col min="4" max="4" width="12.85546875" customWidth="1"/>
    <col min="5" max="5" width="11.85546875" bestFit="1" customWidth="1"/>
    <col min="6" max="6" width="13.5703125" customWidth="1"/>
    <col min="7" max="7" width="10.85546875" customWidth="1"/>
  </cols>
  <sheetData>
    <row r="4" spans="3:8" ht="15.75" thickBot="1" x14ac:dyDescent="0.3">
      <c r="C4" s="411" t="s">
        <v>102</v>
      </c>
      <c r="D4" s="411"/>
      <c r="E4" s="103"/>
      <c r="F4" s="103"/>
    </row>
    <row r="5" spans="3:8" x14ac:dyDescent="0.25">
      <c r="C5" s="412"/>
      <c r="D5" s="413"/>
      <c r="E5" s="413"/>
      <c r="F5" s="414"/>
    </row>
    <row r="6" spans="3:8" x14ac:dyDescent="0.25">
      <c r="C6" s="105"/>
      <c r="D6" s="104"/>
      <c r="E6" s="104"/>
      <c r="F6" s="126"/>
    </row>
    <row r="7" spans="3:8" x14ac:dyDescent="0.25">
      <c r="C7" s="105"/>
      <c r="D7" s="104"/>
      <c r="E7" s="104"/>
      <c r="F7" s="126"/>
    </row>
    <row r="8" spans="3:8" x14ac:dyDescent="0.25">
      <c r="C8" s="105"/>
      <c r="D8" s="104"/>
      <c r="E8" s="104"/>
      <c r="F8" s="126"/>
    </row>
    <row r="9" spans="3:8" x14ac:dyDescent="0.25">
      <c r="C9" s="105"/>
      <c r="D9" s="104"/>
      <c r="E9" s="104"/>
      <c r="F9" s="126"/>
    </row>
    <row r="10" spans="3:8" ht="15.75" thickBot="1" x14ac:dyDescent="0.3">
      <c r="C10" s="106"/>
      <c r="D10" s="127"/>
      <c r="E10" s="127"/>
      <c r="F10" s="127"/>
    </row>
    <row r="11" spans="3:8" s="43" customFormat="1" x14ac:dyDescent="0.25">
      <c r="C11" s="124"/>
      <c r="D11" s="125"/>
      <c r="E11" s="125"/>
      <c r="F11" s="125"/>
    </row>
    <row r="15" spans="3:8" ht="15.75" thickBot="1" x14ac:dyDescent="0.3"/>
    <row r="16" spans="3:8" s="28" customFormat="1" ht="33.6" customHeight="1" x14ac:dyDescent="0.25">
      <c r="C16" s="107" t="s">
        <v>103</v>
      </c>
      <c r="D16" s="33" t="s">
        <v>109</v>
      </c>
      <c r="E16" s="33" t="s">
        <v>105</v>
      </c>
      <c r="F16" s="33" t="s">
        <v>106</v>
      </c>
      <c r="G16" s="33" t="s">
        <v>107</v>
      </c>
      <c r="H16" s="34" t="s">
        <v>108</v>
      </c>
    </row>
    <row r="17" spans="3:8" x14ac:dyDescent="0.25">
      <c r="C17" s="191">
        <v>2014</v>
      </c>
      <c r="D17" s="97">
        <v>774</v>
      </c>
      <c r="E17" s="97">
        <v>302</v>
      </c>
      <c r="F17" s="110"/>
      <c r="G17" s="97"/>
      <c r="H17" s="54"/>
    </row>
    <row r="18" spans="3:8" x14ac:dyDescent="0.25">
      <c r="C18" s="191">
        <v>2015</v>
      </c>
      <c r="D18" s="97">
        <v>592</v>
      </c>
      <c r="E18" s="97">
        <v>153</v>
      </c>
      <c r="F18" s="110">
        <v>18900000</v>
      </c>
      <c r="G18" s="97"/>
      <c r="H18" s="54"/>
    </row>
    <row r="19" spans="3:8" x14ac:dyDescent="0.25">
      <c r="C19" s="191">
        <v>2016</v>
      </c>
      <c r="D19" s="97">
        <v>329</v>
      </c>
      <c r="E19" s="97">
        <v>87</v>
      </c>
      <c r="F19" s="110">
        <v>102400000</v>
      </c>
      <c r="G19" s="97"/>
      <c r="H19" s="54"/>
    </row>
    <row r="20" spans="3:8" x14ac:dyDescent="0.25">
      <c r="C20" s="191">
        <v>2017</v>
      </c>
      <c r="D20" s="97">
        <v>293</v>
      </c>
      <c r="E20" s="97">
        <v>82</v>
      </c>
      <c r="F20" s="110">
        <v>78800000</v>
      </c>
      <c r="G20" s="97"/>
      <c r="H20" s="54"/>
    </row>
    <row r="21" spans="3:8" x14ac:dyDescent="0.25">
      <c r="C21" s="191">
        <v>2018</v>
      </c>
      <c r="D21" s="97">
        <v>237</v>
      </c>
      <c r="E21" s="97">
        <v>87</v>
      </c>
      <c r="F21" s="110">
        <v>9900000</v>
      </c>
      <c r="G21" s="97">
        <v>400</v>
      </c>
      <c r="H21" s="54">
        <v>18</v>
      </c>
    </row>
    <row r="22" spans="3:8" s="43" customFormat="1" x14ac:dyDescent="0.25">
      <c r="C22" s="191">
        <v>2019</v>
      </c>
      <c r="D22" s="121">
        <v>178</v>
      </c>
      <c r="E22" s="121">
        <v>91</v>
      </c>
      <c r="F22" s="122">
        <v>189000000</v>
      </c>
      <c r="G22" s="121">
        <v>546</v>
      </c>
      <c r="H22" s="123">
        <v>8</v>
      </c>
    </row>
    <row r="23" spans="3:8" s="43" customFormat="1" x14ac:dyDescent="0.25">
      <c r="C23" s="193">
        <v>2020</v>
      </c>
      <c r="D23" s="194"/>
      <c r="E23" s="194"/>
      <c r="F23" s="195">
        <v>444300000</v>
      </c>
      <c r="G23" s="121"/>
      <c r="H23" s="123"/>
    </row>
    <row r="24" spans="3:8" s="43" customFormat="1" x14ac:dyDescent="0.25">
      <c r="C24" s="196">
        <v>2021</v>
      </c>
      <c r="D24" s="197"/>
      <c r="E24" s="197"/>
      <c r="F24" s="198">
        <v>153300000</v>
      </c>
      <c r="G24" s="121"/>
      <c r="H24" s="123"/>
    </row>
    <row r="25" spans="3:8" s="43" customFormat="1" x14ac:dyDescent="0.25">
      <c r="C25" s="193">
        <v>2022</v>
      </c>
      <c r="D25" s="194">
        <v>300</v>
      </c>
      <c r="E25" s="194"/>
      <c r="F25" s="195">
        <v>102100000</v>
      </c>
      <c r="G25" s="121"/>
      <c r="H25" s="123"/>
    </row>
    <row r="26" spans="3:8" s="43" customFormat="1" x14ac:dyDescent="0.25">
      <c r="C26" s="196">
        <v>2023</v>
      </c>
      <c r="D26" s="197">
        <v>283</v>
      </c>
      <c r="E26" s="197"/>
      <c r="F26" s="195">
        <v>422400000</v>
      </c>
      <c r="G26" s="97"/>
      <c r="H26" s="54"/>
    </row>
    <row r="27" spans="3:8" s="43" customFormat="1" x14ac:dyDescent="0.25">
      <c r="C27" s="196">
        <v>2024</v>
      </c>
      <c r="D27" s="197">
        <v>169</v>
      </c>
      <c r="E27" s="197"/>
      <c r="F27" s="195">
        <f>84000000+178800000</f>
        <v>262800000</v>
      </c>
      <c r="G27" s="97"/>
      <c r="H27" s="54"/>
    </row>
    <row r="28" spans="3:8" s="43" customFormat="1" x14ac:dyDescent="0.25">
      <c r="C28" s="196">
        <v>2025</v>
      </c>
      <c r="D28" s="194">
        <v>202</v>
      </c>
      <c r="E28" s="194"/>
      <c r="F28" s="209">
        <f>538300000+7100000</f>
        <v>545400000</v>
      </c>
      <c r="G28" s="121"/>
      <c r="H28" s="123"/>
    </row>
    <row r="29" spans="3:8" ht="15.75" thickBot="1" x14ac:dyDescent="0.3">
      <c r="C29" s="210" t="s">
        <v>169</v>
      </c>
      <c r="D29" s="199">
        <f>AVERAGE(D25:D28)</f>
        <v>238.5</v>
      </c>
      <c r="E29" s="199">
        <f>AVERAGE(E17:E22)</f>
        <v>133.66666666666666</v>
      </c>
      <c r="F29" s="211">
        <f>AVERAGE(F24:F28)</f>
        <v>297200000</v>
      </c>
      <c r="G29" s="108">
        <f>AVERAGE(G17:G22)</f>
        <v>473</v>
      </c>
      <c r="H29" s="109">
        <f>AVERAGE(H17:H22)</f>
        <v>13</v>
      </c>
    </row>
    <row r="38" spans="5:8" x14ac:dyDescent="0.25">
      <c r="E38" s="174"/>
      <c r="F38" s="174"/>
    </row>
    <row r="39" spans="5:8" x14ac:dyDescent="0.25">
      <c r="E39" s="174"/>
      <c r="F39" s="174"/>
    </row>
    <row r="40" spans="5:8" x14ac:dyDescent="0.25">
      <c r="E40" s="174"/>
      <c r="F40" s="174"/>
      <c r="H40" s="172"/>
    </row>
    <row r="41" spans="5:8" x14ac:dyDescent="0.25">
      <c r="E41" s="174"/>
      <c r="F41" s="174"/>
    </row>
    <row r="42" spans="5:8" x14ac:dyDescent="0.25">
      <c r="E42" s="174"/>
      <c r="F42" s="174"/>
    </row>
  </sheetData>
  <mergeCells count="2">
    <mergeCell ref="C4:D4"/>
    <mergeCell ref="C5:F5"/>
  </mergeCells>
  <pageMargins left="0.7" right="0.7" top="0.75" bottom="0.75" header="0.3" footer="0.3"/>
  <pageSetup paperSize="9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47244078-9c36-4ab9-9721-6cc692af1440" value=""/>
  <element uid="47928880-dea4-4d50-89bf-6da6cd3216ab" value=""/>
</sisl>
</file>

<file path=customXml/itemProps1.xml><?xml version="1.0" encoding="utf-8"?>
<ds:datastoreItem xmlns:ds="http://schemas.openxmlformats.org/officeDocument/2006/customXml" ds:itemID="{399F42E9-75B6-4BE6-A3D9-85CC9831CF1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Tabelka</vt:lpstr>
      <vt:lpstr>Koszty osobowe</vt:lpstr>
      <vt:lpstr>Koszty pozostałe</vt:lpstr>
      <vt:lpstr>Panel kontrolny</vt:lpstr>
      <vt:lpstr>Koszty dla przedsiębiorców+JST</vt:lpstr>
      <vt:lpstr>Dane źródłowe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Janusz Księżopolski;Łukasz Dajnowicz</dc:creator>
  <cp:lastModifiedBy>as</cp:lastModifiedBy>
  <dcterms:created xsi:type="dcterms:W3CDTF">2019-04-24T11:29:52Z</dcterms:created>
  <dcterms:modified xsi:type="dcterms:W3CDTF">2026-10-08T12:22:58Z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080469ad-e5e7-49bb-9b44-dca4a9b4c9a0</vt:lpwstr>
  </property>
  <property fmtid="{D5CDD505-2E9C-101B-9397-08002B2CF9AE}" pid="3" name="bjSaver">
    <vt:lpwstr>YAMhz8LRt+W7GW/nGY+r7mK8xaZ+Mnu2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5" name="bjDocumentLabelXML-0">
    <vt:lpwstr>ames.com/2008/01/sie/internal/label"&gt;&lt;element uid="47244078-9c36-4ab9-9721-6cc692af1440" value="" /&gt;&lt;element uid="47928880-dea4-4d50-89bf-6da6cd3216ab" value="" /&gt;&lt;/sisl&gt;</vt:lpwstr>
  </property>
  <property fmtid="{D5CDD505-2E9C-101B-9397-08002B2CF9AE}" pid="6" name="bjDocumentSecurityLabel">
    <vt:lpwstr>WEWNĘTRZNE</vt:lpwstr>
  </property>
  <property fmtid="{D5CDD505-2E9C-101B-9397-08002B2CF9AE}" pid="7" name="bjClsUserRVM">
    <vt:lpwstr>[]</vt:lpwstr>
  </property>
</Properties>
</file>